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2.xml" ContentType="application/vnd.openxmlformats-officedocument.drawing+xml"/>
  <Override PartName="/xl/charts/chart1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8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2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2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3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3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3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3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PGN\Miasto Ciechanów\APGN\"/>
    </mc:Choice>
  </mc:AlternateContent>
  <xr:revisionPtr revIDLastSave="0" documentId="13_ncr:1_{9001773D-01EB-4A9E-993F-33ACDA366BBF}" xr6:coauthVersionLast="37" xr6:coauthVersionMax="37" xr10:uidLastSave="{00000000-0000-0000-0000-000000000000}"/>
  <bookViews>
    <workbookView xWindow="0" yWindow="0" windowWidth="20490" windowHeight="7155" tabRatio="799" firstSheet="10" activeTab="2" xr2:uid="{00000000-000D-0000-FFFF-FFFF00000000}"/>
  </bookViews>
  <sheets>
    <sheet name="INFO" sheetId="1" r:id="rId1"/>
    <sheet name="Wskaźniki" sheetId="16" r:id="rId2"/>
    <sheet name="Charakterystyka" sheetId="10" r:id="rId3"/>
    <sheet name="Arkusz2" sheetId="20" state="hidden" r:id="rId4"/>
    <sheet name="Arkusz1" sheetId="19" state="hidden" r:id="rId5"/>
    <sheet name="En. elektryczna" sheetId="2" r:id="rId6"/>
    <sheet name="En. elektryczna wykr." sheetId="4" r:id="rId7"/>
    <sheet name="Gaz" sheetId="5" r:id="rId8"/>
    <sheet name="Gaz wykr." sheetId="6" r:id="rId9"/>
    <sheet name="Ruch lokalny" sheetId="9" r:id="rId10"/>
    <sheet name="Tranzyt" sheetId="7" r:id="rId11"/>
    <sheet name="Transport wykr." sheetId="11" r:id="rId12"/>
    <sheet name="Ciepło" sheetId="12" r:id="rId13"/>
    <sheet name="Ciepło wykr." sheetId="13" r:id="rId14"/>
    <sheet name="Obiekty publiczne" sheetId="15" r:id="rId15"/>
    <sheet name="Ob pub. inwent. kontrolna" sheetId="23" r:id="rId16"/>
    <sheet name="Przedsiębiorstwa" sheetId="21" r:id="rId17"/>
    <sheet name="Przeds. inwent. kontrolna" sheetId="24" r:id="rId18"/>
    <sheet name="Wspólnoty i Spółdzielnie " sheetId="22" r:id="rId19"/>
    <sheet name="Oświetlenie" sheetId="14" r:id="rId20"/>
    <sheet name="miejski Zarząd nieruchomości" sheetId="18" state="hidden" r:id="rId21"/>
    <sheet name="Bilans" sheetId="17" r:id="rId22"/>
  </sheets>
  <externalReferences>
    <externalReference r:id="rId23"/>
    <externalReference r:id="rId24"/>
  </externalReferences>
  <definedNames>
    <definedName name="_xlnm._FilterDatabase" localSheetId="14" hidden="1">'Obiekty publiczne'!$B$4:$K$13</definedName>
    <definedName name="_xlnm._FilterDatabase" localSheetId="17" hidden="1">'Przeds. inwent. kontrolna'!$E$1:$E$88</definedName>
    <definedName name="_xlnm._FilterDatabase" localSheetId="16" hidden="1">Przedsiębiorstwa!$B$4:$K$8</definedName>
    <definedName name="_xlnm._FilterDatabase" localSheetId="18" hidden="1">'Wspólnoty i Spółdzielnie '!$B$4:$K$13</definedName>
    <definedName name="_xlnm.Print_Area" localSheetId="21">Bilans!$A$1:$L$55</definedName>
    <definedName name="_xlnm.Print_Area" localSheetId="2">Charakterystyka!$A$1:$AH$141</definedName>
    <definedName name="_xlnm.Print_Area" localSheetId="12">Ciepło!$A$1:$K$65</definedName>
    <definedName name="_xlnm.Print_Area" localSheetId="13">'Ciepło wykr.'!$A$1:$L$38</definedName>
    <definedName name="_xlnm.Print_Area" localSheetId="5">'En. elektryczna'!$A$1:$L$40</definedName>
    <definedName name="_xlnm.Print_Area" localSheetId="6">'En. elektryczna wykr.'!$A$1:$L$39</definedName>
    <definedName name="_xlnm.Print_Area" localSheetId="7">Gaz!$A$1:$M$40</definedName>
    <definedName name="_xlnm.Print_Area" localSheetId="8">'Gaz wykr.'!$A$1:$L$38</definedName>
    <definedName name="_xlnm.Print_Area" localSheetId="14">'Obiekty publiczne'!$A$1:$K$14</definedName>
    <definedName name="_xlnm.Print_Area" localSheetId="19">Oświetlenie!$A$1:$K$47</definedName>
    <definedName name="_xlnm.Print_Area" localSheetId="16">Przedsiębiorstwa!$A$1:$L$13</definedName>
    <definedName name="_xlnm.Print_Area" localSheetId="9">'Ruch lokalny'!$A$1:$L$121</definedName>
    <definedName name="_xlnm.Print_Area" localSheetId="11">'Transport wykr.'!$A$1:$L$63</definedName>
    <definedName name="_xlnm.Print_Area" localSheetId="10">Tranzyt!$A$1:$P$66</definedName>
    <definedName name="_xlnm.Print_Area" localSheetId="1">Wskaźniki!$A$1:$I$15</definedName>
    <definedName name="_xlnm.Print_Area" localSheetId="18">'Wspólnoty i Spółdzielnie '!$A$1:$J$14</definedName>
    <definedName name="_xlnm.Print_Titles" localSheetId="21">Bilans!$2:$2</definedName>
    <definedName name="_xlnm.Print_Titles" localSheetId="2">Charakterystyka!$2:$3</definedName>
    <definedName name="_xlnm.Print_Titles" localSheetId="13">'Ciepło wykr.'!$2:$3</definedName>
    <definedName name="_xlnm.Print_Titles" localSheetId="9">'Ruch lokalny'!$2:$3</definedName>
    <definedName name="_xlnm.Print_Titles" localSheetId="11">'Transport wykr.'!$2:$3</definedName>
  </definedNames>
  <calcPr calcId="179021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1" i="17" l="1"/>
  <c r="D34" i="17"/>
  <c r="D35" i="17"/>
  <c r="D42" i="17"/>
  <c r="D33" i="17"/>
  <c r="D32" i="17"/>
  <c r="D31" i="17"/>
  <c r="D30" i="17"/>
  <c r="D44" i="17"/>
  <c r="D43" i="17"/>
  <c r="D41" i="17"/>
  <c r="D40" i="17"/>
  <c r="J10" i="17"/>
  <c r="J8" i="17"/>
  <c r="J7" i="17"/>
  <c r="J6" i="17"/>
  <c r="D10" i="17"/>
  <c r="D9" i="17"/>
  <c r="D7" i="17"/>
  <c r="D6" i="17"/>
  <c r="W9" i="23"/>
  <c r="X9" i="23"/>
  <c r="V9" i="23"/>
  <c r="W10" i="23"/>
  <c r="X10" i="23"/>
  <c r="V10" i="23"/>
  <c r="U10" i="23"/>
  <c r="W11" i="23"/>
  <c r="X11" i="23"/>
  <c r="V11" i="23"/>
  <c r="U11" i="23"/>
  <c r="W6" i="23"/>
  <c r="W12" i="23" s="1"/>
  <c r="X6" i="23"/>
  <c r="V6" i="23"/>
  <c r="W5" i="23"/>
  <c r="X5" i="23"/>
  <c r="X12" i="23" s="1"/>
  <c r="V5" i="23"/>
  <c r="V12" i="23" s="1"/>
  <c r="W8" i="23"/>
  <c r="X8" i="23"/>
  <c r="V8" i="23"/>
  <c r="V7" i="23"/>
  <c r="W7" i="23"/>
  <c r="X7" i="23"/>
  <c r="U7" i="23"/>
  <c r="U12" i="23" s="1"/>
  <c r="K11" i="15"/>
  <c r="J11" i="15"/>
  <c r="U4" i="23"/>
  <c r="N12" i="23"/>
  <c r="J6" i="23"/>
  <c r="K6" i="23"/>
  <c r="L6" i="23"/>
  <c r="M6" i="23"/>
  <c r="J7" i="23"/>
  <c r="K7" i="23"/>
  <c r="L7" i="23"/>
  <c r="M7" i="23"/>
  <c r="J8" i="23"/>
  <c r="K8" i="23"/>
  <c r="L8" i="23"/>
  <c r="M8" i="23"/>
  <c r="K9" i="23"/>
  <c r="L9" i="23"/>
  <c r="M9" i="23"/>
  <c r="J10" i="23"/>
  <c r="K10" i="23"/>
  <c r="L10" i="23"/>
  <c r="M10" i="23"/>
  <c r="J11" i="23"/>
  <c r="K11" i="23"/>
  <c r="L11" i="23"/>
  <c r="M11" i="23"/>
  <c r="K5" i="23"/>
  <c r="K12" i="23" s="1"/>
  <c r="L5" i="23"/>
  <c r="L12" i="23" s="1"/>
  <c r="M5" i="23"/>
  <c r="M12" i="23" s="1"/>
  <c r="J5" i="23"/>
  <c r="J4" i="23"/>
  <c r="Q12" i="23"/>
  <c r="R12" i="23"/>
  <c r="S12" i="23"/>
  <c r="F12" i="23"/>
  <c r="G12" i="23"/>
  <c r="H12" i="23"/>
  <c r="E19" i="14"/>
  <c r="E41" i="14"/>
  <c r="G40" i="14"/>
  <c r="G41" i="14" s="1"/>
  <c r="E30" i="14"/>
  <c r="G29" i="14"/>
  <c r="G30" i="14" s="1"/>
  <c r="G18" i="14"/>
  <c r="G19" i="14" s="1"/>
  <c r="G57" i="12"/>
  <c r="G56" i="12"/>
  <c r="H56" i="12" s="1"/>
  <c r="G55" i="12"/>
  <c r="G54" i="12"/>
  <c r="J54" i="12" s="1"/>
  <c r="G53" i="12"/>
  <c r="J56" i="12"/>
  <c r="E56" i="12"/>
  <c r="J55" i="12"/>
  <c r="H55" i="12"/>
  <c r="H54" i="12"/>
  <c r="E54" i="12"/>
  <c r="J53" i="12"/>
  <c r="H53" i="12"/>
  <c r="H52" i="12"/>
  <c r="F22" i="12"/>
  <c r="F23" i="12"/>
  <c r="F24" i="12"/>
  <c r="F25" i="12"/>
  <c r="F21" i="12"/>
  <c r="J21" i="12"/>
  <c r="H21" i="12"/>
  <c r="C16" i="12"/>
  <c r="G26" i="12" s="1"/>
  <c r="G22" i="12" s="1"/>
  <c r="H22" i="12" s="1"/>
  <c r="D66" i="9"/>
  <c r="D67" i="9"/>
  <c r="K67" i="9" s="1"/>
  <c r="D68" i="9"/>
  <c r="D69" i="9"/>
  <c r="D70" i="9"/>
  <c r="D71" i="9"/>
  <c r="D73" i="9"/>
  <c r="D74" i="9"/>
  <c r="D75" i="9"/>
  <c r="D76" i="9"/>
  <c r="D77" i="9"/>
  <c r="K77" i="9" s="1"/>
  <c r="D78" i="9"/>
  <c r="D79" i="9"/>
  <c r="D80" i="9"/>
  <c r="D81" i="9"/>
  <c r="D82" i="9"/>
  <c r="D83" i="9"/>
  <c r="D84" i="9"/>
  <c r="D85" i="9"/>
  <c r="D86" i="9"/>
  <c r="D88" i="9"/>
  <c r="K68" i="9"/>
  <c r="K74" i="9"/>
  <c r="K86" i="9"/>
  <c r="H85" i="9"/>
  <c r="G85" i="9"/>
  <c r="H84" i="9"/>
  <c r="K83" i="9"/>
  <c r="H82" i="9"/>
  <c r="H81" i="9"/>
  <c r="K81" i="9" s="1"/>
  <c r="H80" i="9"/>
  <c r="H79" i="9"/>
  <c r="K79" i="9" s="1"/>
  <c r="H78" i="9"/>
  <c r="C78" i="9"/>
  <c r="H76" i="9"/>
  <c r="H75" i="9"/>
  <c r="H73" i="9"/>
  <c r="H72" i="9"/>
  <c r="H71" i="9"/>
  <c r="H70" i="9"/>
  <c r="H69" i="9"/>
  <c r="H66" i="9"/>
  <c r="K66" i="9" s="1"/>
  <c r="E22" i="5"/>
  <c r="E23" i="5" s="1"/>
  <c r="E21" i="5"/>
  <c r="G21" i="5" s="1"/>
  <c r="I21" i="5" s="1"/>
  <c r="E20" i="5"/>
  <c r="D23" i="5"/>
  <c r="G22" i="5"/>
  <c r="I22" i="5" s="1"/>
  <c r="B21" i="5"/>
  <c r="G20" i="5"/>
  <c r="I20" i="5" s="1"/>
  <c r="B20" i="5"/>
  <c r="F19" i="5"/>
  <c r="C23" i="2"/>
  <c r="E22" i="2"/>
  <c r="E21" i="2"/>
  <c r="E20" i="2"/>
  <c r="E23" i="2" s="1"/>
  <c r="S86" i="10"/>
  <c r="T86" i="10"/>
  <c r="R86" i="10"/>
  <c r="K85" i="9" l="1"/>
  <c r="K84" i="9"/>
  <c r="J57" i="12"/>
  <c r="H57" i="12"/>
  <c r="G24" i="12"/>
  <c r="J24" i="12" s="1"/>
  <c r="G25" i="12"/>
  <c r="H25" i="12" s="1"/>
  <c r="G23" i="12"/>
  <c r="H24" i="12"/>
  <c r="J23" i="12"/>
  <c r="H23" i="12"/>
  <c r="H26" i="12" s="1"/>
  <c r="J22" i="12"/>
  <c r="J25" i="12"/>
  <c r="K69" i="9"/>
  <c r="K76" i="9"/>
  <c r="K82" i="9"/>
  <c r="L82" i="9" s="1"/>
  <c r="C66" i="9"/>
  <c r="K73" i="9"/>
  <c r="C75" i="9"/>
  <c r="K71" i="9"/>
  <c r="C69" i="9"/>
  <c r="K75" i="9"/>
  <c r="L85" i="9"/>
  <c r="K80" i="9"/>
  <c r="K70" i="9"/>
  <c r="K88" i="9" s="1"/>
  <c r="D89" i="9"/>
  <c r="C81" i="9"/>
  <c r="K89" i="9"/>
  <c r="L76" i="9"/>
  <c r="K78" i="9"/>
  <c r="C84" i="9"/>
  <c r="I23" i="5"/>
  <c r="F22" i="5"/>
  <c r="G23" i="5"/>
  <c r="F20" i="5"/>
  <c r="F23" i="5" s="1"/>
  <c r="F21" i="5"/>
  <c r="J26" i="12" l="1"/>
  <c r="L70" i="9"/>
  <c r="L79" i="9"/>
  <c r="L67" i="9"/>
  <c r="P11" i="23" l="1"/>
  <c r="P12" i="23" s="1"/>
  <c r="E9" i="23"/>
  <c r="I63" i="24"/>
  <c r="I42" i="24"/>
  <c r="H42" i="24"/>
  <c r="I36" i="24"/>
  <c r="H36" i="24"/>
  <c r="H33" i="24"/>
  <c r="I33" i="24" s="1"/>
  <c r="H46" i="24"/>
  <c r="I46" i="24" s="1"/>
  <c r="H63" i="24"/>
  <c r="H43" i="24"/>
  <c r="I43" i="24" s="1"/>
  <c r="H40" i="24"/>
  <c r="I40" i="24" s="1"/>
  <c r="H30" i="24"/>
  <c r="I30" i="24" s="1"/>
  <c r="H84" i="24"/>
  <c r="I84" i="24" s="1"/>
  <c r="H78" i="24"/>
  <c r="I78" i="24" s="1"/>
  <c r="H76" i="24"/>
  <c r="I76" i="24" s="1"/>
  <c r="H74" i="24"/>
  <c r="I74" i="24" s="1"/>
  <c r="H69" i="24"/>
  <c r="I69" i="24" s="1"/>
  <c r="H56" i="24"/>
  <c r="I56" i="24" s="1"/>
  <c r="H53" i="24"/>
  <c r="I53" i="24" s="1"/>
  <c r="H45" i="24"/>
  <c r="I45" i="24" s="1"/>
  <c r="H31" i="24"/>
  <c r="I31" i="24" s="1"/>
  <c r="H29" i="24"/>
  <c r="I29" i="24" s="1"/>
  <c r="H25" i="24"/>
  <c r="I25" i="24" s="1"/>
  <c r="H24" i="24"/>
  <c r="I24" i="24" s="1"/>
  <c r="H21" i="24"/>
  <c r="I21" i="24" s="1"/>
  <c r="H19" i="24"/>
  <c r="I19" i="24" s="1"/>
  <c r="H15" i="24"/>
  <c r="I15" i="24" s="1"/>
  <c r="H14" i="24"/>
  <c r="I14" i="24" s="1"/>
  <c r="H11" i="24"/>
  <c r="I11" i="24" s="1"/>
  <c r="H7" i="24"/>
  <c r="I7" i="24" s="1"/>
  <c r="H85" i="24"/>
  <c r="I85" i="24" s="1"/>
  <c r="H82" i="24"/>
  <c r="I82" i="24" s="1"/>
  <c r="H81" i="24"/>
  <c r="I81" i="24" s="1"/>
  <c r="H80" i="24"/>
  <c r="I80" i="24" s="1"/>
  <c r="H79" i="24"/>
  <c r="I79" i="24" s="1"/>
  <c r="H77" i="24"/>
  <c r="I77" i="24" s="1"/>
  <c r="H75" i="24"/>
  <c r="I75" i="24" s="1"/>
  <c r="H72" i="24"/>
  <c r="I72" i="24" s="1"/>
  <c r="H71" i="24"/>
  <c r="I71" i="24" s="1"/>
  <c r="H70" i="24"/>
  <c r="I70" i="24" s="1"/>
  <c r="H68" i="24"/>
  <c r="I68" i="24" s="1"/>
  <c r="H67" i="24"/>
  <c r="I67" i="24" s="1"/>
  <c r="H64" i="24"/>
  <c r="I64" i="24" s="1"/>
  <c r="H62" i="24"/>
  <c r="I62" i="24" s="1"/>
  <c r="H59" i="24"/>
  <c r="I59" i="24" s="1"/>
  <c r="H57" i="24"/>
  <c r="I57" i="24" s="1"/>
  <c r="H54" i="24"/>
  <c r="I54" i="24" s="1"/>
  <c r="H51" i="24"/>
  <c r="I51" i="24" s="1"/>
  <c r="H49" i="24"/>
  <c r="I49" i="24" s="1"/>
  <c r="H48" i="24"/>
  <c r="I48" i="24" s="1"/>
  <c r="H44" i="24"/>
  <c r="I44" i="24" s="1"/>
  <c r="H41" i="24"/>
  <c r="I41" i="24" s="1"/>
  <c r="H39" i="24"/>
  <c r="I39" i="24" s="1"/>
  <c r="H37" i="24"/>
  <c r="I37" i="24" s="1"/>
  <c r="H35" i="24"/>
  <c r="I35" i="24" s="1"/>
  <c r="H34" i="24"/>
  <c r="I34" i="24" s="1"/>
  <c r="H32" i="24"/>
  <c r="I32" i="24" s="1"/>
  <c r="H26" i="24"/>
  <c r="I26" i="24" s="1"/>
  <c r="H23" i="24"/>
  <c r="I23" i="24" s="1"/>
  <c r="H20" i="24"/>
  <c r="I20" i="24" s="1"/>
  <c r="H18" i="24"/>
  <c r="I18" i="24" s="1"/>
  <c r="H16" i="24"/>
  <c r="I16" i="24" s="1"/>
  <c r="H13" i="24"/>
  <c r="I13" i="24" s="1"/>
  <c r="H12" i="24"/>
  <c r="I12" i="24" s="1"/>
  <c r="H10" i="24"/>
  <c r="I10" i="24" s="1"/>
  <c r="H9" i="24"/>
  <c r="I9" i="24" s="1"/>
  <c r="H5" i="24"/>
  <c r="I5" i="24" s="1"/>
  <c r="H86" i="24"/>
  <c r="I86" i="24" s="1"/>
  <c r="H83" i="24"/>
  <c r="I83" i="24" s="1"/>
  <c r="H73" i="24"/>
  <c r="I73" i="24" s="1"/>
  <c r="H66" i="24"/>
  <c r="I66" i="24" s="1"/>
  <c r="H65" i="24"/>
  <c r="I65" i="24" s="1"/>
  <c r="H61" i="24"/>
  <c r="I61" i="24" s="1"/>
  <c r="H60" i="24"/>
  <c r="I60" i="24" s="1"/>
  <c r="H58" i="24"/>
  <c r="I58" i="24" s="1"/>
  <c r="H55" i="24"/>
  <c r="I55" i="24" s="1"/>
  <c r="H52" i="24"/>
  <c r="I52" i="24" s="1"/>
  <c r="H47" i="24"/>
  <c r="I47" i="24" s="1"/>
  <c r="H38" i="24"/>
  <c r="I38" i="24" s="1"/>
  <c r="H28" i="24"/>
  <c r="I28" i="24" s="1"/>
  <c r="H27" i="24"/>
  <c r="I27" i="24" s="1"/>
  <c r="H22" i="24"/>
  <c r="I22" i="24" s="1"/>
  <c r="H17" i="24"/>
  <c r="I17" i="24" s="1"/>
  <c r="H8" i="24"/>
  <c r="I8" i="24" s="1"/>
  <c r="H6" i="24"/>
  <c r="I6" i="24" s="1"/>
  <c r="E12" i="23" l="1"/>
  <c r="J9" i="23"/>
  <c r="J12" i="23" s="1"/>
  <c r="F63" i="12"/>
  <c r="B43" i="17" l="1"/>
  <c r="B42" i="17"/>
  <c r="B41" i="17"/>
  <c r="B40" i="17"/>
  <c r="F5" i="15"/>
  <c r="F6" i="15" s="1"/>
  <c r="F7" i="15" s="1"/>
  <c r="F8" i="15" s="1"/>
  <c r="F9" i="15" s="1"/>
  <c r="F10" i="15" s="1"/>
  <c r="F11" i="15" s="1"/>
  <c r="F12" i="15" s="1"/>
  <c r="F7" i="21"/>
  <c r="G63" i="12"/>
  <c r="I63" i="12"/>
  <c r="H49" i="12"/>
  <c r="H48" i="12"/>
  <c r="C34" i="17" s="1"/>
  <c r="H47" i="12"/>
  <c r="H46" i="12"/>
  <c r="H50" i="12" s="1"/>
  <c r="C43" i="17" s="1"/>
  <c r="H45" i="12"/>
  <c r="G59" i="12" s="1"/>
  <c r="H42" i="12"/>
  <c r="H41" i="12"/>
  <c r="H40" i="12"/>
  <c r="H39" i="12"/>
  <c r="H13" i="12"/>
  <c r="H12" i="12"/>
  <c r="F12" i="5"/>
  <c r="F26" i="5" s="1"/>
  <c r="H28" i="12" l="1"/>
  <c r="H20" i="12"/>
  <c r="H43" i="12"/>
  <c r="E13" i="15"/>
  <c r="C29" i="17" l="1"/>
  <c r="C39" i="17" s="1"/>
  <c r="E5" i="12"/>
  <c r="E6" i="12"/>
  <c r="E7" i="12"/>
  <c r="E8" i="12"/>
  <c r="E9" i="12"/>
  <c r="G10" i="12"/>
  <c r="G6" i="12" s="1"/>
  <c r="F33" i="12"/>
  <c r="F32" i="12"/>
  <c r="F31" i="12"/>
  <c r="F30" i="12"/>
  <c r="F29" i="12"/>
  <c r="F17" i="12"/>
  <c r="F14" i="12"/>
  <c r="E49" i="12"/>
  <c r="E63" i="12" s="1"/>
  <c r="E47" i="12"/>
  <c r="E61" i="12" s="1"/>
  <c r="J6" i="12" l="1"/>
  <c r="H6" i="12"/>
  <c r="G8" i="12"/>
  <c r="G9" i="12"/>
  <c r="G7" i="12"/>
  <c r="J9" i="12" l="1"/>
  <c r="H9" i="12"/>
  <c r="J7" i="12"/>
  <c r="H7" i="12"/>
  <c r="J8" i="12"/>
  <c r="H8" i="12"/>
  <c r="F35" i="2"/>
  <c r="F40" i="2" s="1"/>
  <c r="D28" i="2"/>
  <c r="E28" i="2" s="1"/>
  <c r="E14" i="2"/>
  <c r="B15" i="2"/>
  <c r="B14" i="2"/>
  <c r="B13" i="2"/>
  <c r="E7" i="2"/>
  <c r="B14" i="5"/>
  <c r="B28" i="5" s="1"/>
  <c r="B13" i="5"/>
  <c r="B27" i="5" s="1"/>
  <c r="B27" i="2" l="1"/>
  <c r="B29" i="2"/>
  <c r="B28" i="2"/>
  <c r="F37" i="2"/>
  <c r="F39" i="2"/>
  <c r="D29" i="2"/>
  <c r="F36" i="2"/>
  <c r="F38" i="2"/>
  <c r="K12" i="15" l="1"/>
  <c r="H12" i="15"/>
  <c r="J12" i="15"/>
  <c r="H11" i="15"/>
  <c r="J10" i="15" l="1"/>
  <c r="J9" i="15" l="1"/>
  <c r="I60" i="7" l="1"/>
  <c r="I59" i="7"/>
  <c r="I58" i="7"/>
  <c r="I57" i="7"/>
  <c r="I56" i="7"/>
  <c r="L55" i="7"/>
  <c r="K55" i="7"/>
  <c r="J55" i="7"/>
  <c r="I5" i="17" l="1"/>
  <c r="F13" i="12"/>
  <c r="F15" i="12"/>
  <c r="J46" i="12" l="1"/>
  <c r="G50" i="12"/>
  <c r="J49" i="12"/>
  <c r="J48" i="12"/>
  <c r="J47" i="12"/>
  <c r="G43" i="12"/>
  <c r="G5" i="12" s="1"/>
  <c r="J42" i="12"/>
  <c r="J41" i="12"/>
  <c r="J40" i="12"/>
  <c r="J39" i="12"/>
  <c r="H5" i="12" l="1"/>
  <c r="H10" i="12" s="1"/>
  <c r="J5" i="12"/>
  <c r="J10" i="12" s="1"/>
  <c r="F42" i="12"/>
  <c r="F40" i="12"/>
  <c r="F41" i="12"/>
  <c r="F39" i="12"/>
  <c r="J50" i="12"/>
  <c r="C10" i="17" s="1"/>
  <c r="J43" i="12"/>
  <c r="K8" i="15" l="1"/>
  <c r="J8" i="15"/>
  <c r="E13" i="22" l="1"/>
  <c r="D13" i="22"/>
  <c r="J7" i="21"/>
  <c r="H7" i="21"/>
  <c r="K7" i="21" s="1"/>
  <c r="J6" i="21"/>
  <c r="H6" i="21"/>
  <c r="K6" i="21" s="1"/>
  <c r="H5" i="21"/>
  <c r="E8" i="21"/>
  <c r="D8" i="21"/>
  <c r="J5" i="21"/>
  <c r="J7" i="15"/>
  <c r="J6" i="15"/>
  <c r="D51" i="7"/>
  <c r="D50" i="7"/>
  <c r="D49" i="7"/>
  <c r="D48" i="7"/>
  <c r="D47" i="7"/>
  <c r="D46" i="7"/>
  <c r="D45" i="7"/>
  <c r="D41" i="7"/>
  <c r="D40" i="7"/>
  <c r="D39" i="7"/>
  <c r="D38" i="7"/>
  <c r="D37" i="7"/>
  <c r="D36" i="7"/>
  <c r="D35" i="7"/>
  <c r="D31" i="7"/>
  <c r="D30" i="7"/>
  <c r="D29" i="7"/>
  <c r="D28" i="7"/>
  <c r="D27" i="7"/>
  <c r="D26" i="7"/>
  <c r="D25" i="7"/>
  <c r="D19" i="7"/>
  <c r="D21" i="7"/>
  <c r="D20" i="7"/>
  <c r="D18" i="7"/>
  <c r="D17" i="7"/>
  <c r="D16" i="7"/>
  <c r="D15" i="7"/>
  <c r="D11" i="7"/>
  <c r="D10" i="7"/>
  <c r="D9" i="7"/>
  <c r="D8" i="7"/>
  <c r="D7" i="7"/>
  <c r="D5" i="7"/>
  <c r="D6" i="7"/>
  <c r="G51" i="7"/>
  <c r="G50" i="7"/>
  <c r="G49" i="7"/>
  <c r="G48" i="7"/>
  <c r="G47" i="7"/>
  <c r="G46" i="7"/>
  <c r="G45" i="7"/>
  <c r="F51" i="7"/>
  <c r="F50" i="7"/>
  <c r="F49" i="7"/>
  <c r="F48" i="7"/>
  <c r="F47" i="7"/>
  <c r="F46" i="7"/>
  <c r="F45" i="7"/>
  <c r="G41" i="7"/>
  <c r="G40" i="7"/>
  <c r="G39" i="7"/>
  <c r="G38" i="7"/>
  <c r="G37" i="7"/>
  <c r="G36" i="7"/>
  <c r="G35" i="7"/>
  <c r="F41" i="7"/>
  <c r="F40" i="7"/>
  <c r="F39" i="7"/>
  <c r="F38" i="7"/>
  <c r="F37" i="7"/>
  <c r="F36" i="7"/>
  <c r="F35" i="7"/>
  <c r="G31" i="7"/>
  <c r="G30" i="7"/>
  <c r="G29" i="7"/>
  <c r="G28" i="7"/>
  <c r="G27" i="7"/>
  <c r="G26" i="7"/>
  <c r="G25" i="7"/>
  <c r="F31" i="7"/>
  <c r="F30" i="7"/>
  <c r="F29" i="7"/>
  <c r="F28" i="7"/>
  <c r="F27" i="7"/>
  <c r="F26" i="7"/>
  <c r="F25" i="7"/>
  <c r="G21" i="7"/>
  <c r="G20" i="7"/>
  <c r="G19" i="7"/>
  <c r="G18" i="7"/>
  <c r="G17" i="7"/>
  <c r="G16" i="7"/>
  <c r="J8" i="21" l="1"/>
  <c r="H8" i="21"/>
  <c r="K5" i="21"/>
  <c r="K8" i="21" s="1"/>
  <c r="G15" i="7"/>
  <c r="F21" i="7"/>
  <c r="F20" i="7"/>
  <c r="F19" i="7"/>
  <c r="F18" i="7"/>
  <c r="F17" i="7"/>
  <c r="F16" i="7"/>
  <c r="F15" i="7"/>
  <c r="G11" i="7"/>
  <c r="G10" i="7"/>
  <c r="G9" i="7"/>
  <c r="G8" i="7"/>
  <c r="G7" i="7"/>
  <c r="G6" i="7"/>
  <c r="G5" i="7"/>
  <c r="F11" i="7"/>
  <c r="F10" i="7"/>
  <c r="F9" i="7"/>
  <c r="F8" i="7"/>
  <c r="F7" i="7"/>
  <c r="F6" i="7"/>
  <c r="F5" i="7"/>
  <c r="H5" i="15" l="1"/>
  <c r="I7" i="14" l="1"/>
  <c r="E52" i="7"/>
  <c r="L51" i="7"/>
  <c r="K51" i="7"/>
  <c r="J51" i="7"/>
  <c r="L50" i="7"/>
  <c r="K50" i="7"/>
  <c r="J50" i="7"/>
  <c r="L49" i="7"/>
  <c r="K49" i="7"/>
  <c r="J49" i="7"/>
  <c r="L48" i="7"/>
  <c r="K48" i="7"/>
  <c r="J48" i="7"/>
  <c r="L47" i="7"/>
  <c r="K47" i="7"/>
  <c r="J47" i="7"/>
  <c r="K46" i="7"/>
  <c r="J46" i="7"/>
  <c r="K45" i="7"/>
  <c r="K52" i="7" s="1"/>
  <c r="K60" i="7" s="1"/>
  <c r="L45" i="7"/>
  <c r="F52" i="7"/>
  <c r="D52" i="7"/>
  <c r="E42" i="7"/>
  <c r="L41" i="7"/>
  <c r="K41" i="7"/>
  <c r="J41" i="7"/>
  <c r="L40" i="7"/>
  <c r="K40" i="7"/>
  <c r="J40" i="7"/>
  <c r="L39" i="7"/>
  <c r="K39" i="7"/>
  <c r="J39" i="7"/>
  <c r="L38" i="7"/>
  <c r="K38" i="7"/>
  <c r="J38" i="7"/>
  <c r="L37" i="7"/>
  <c r="K37" i="7"/>
  <c r="J37" i="7"/>
  <c r="K36" i="7"/>
  <c r="L36" i="7"/>
  <c r="J36" i="7"/>
  <c r="K35" i="7"/>
  <c r="G42" i="7"/>
  <c r="F42" i="7"/>
  <c r="D42" i="7"/>
  <c r="G32" i="7"/>
  <c r="E32" i="7"/>
  <c r="L31" i="7"/>
  <c r="K31" i="7"/>
  <c r="J31" i="7"/>
  <c r="L30" i="7"/>
  <c r="K30" i="7"/>
  <c r="J30" i="7"/>
  <c r="L29" i="7"/>
  <c r="K29" i="7"/>
  <c r="J29" i="7"/>
  <c r="L28" i="7"/>
  <c r="K28" i="7"/>
  <c r="J28" i="7"/>
  <c r="L27" i="7"/>
  <c r="K27" i="7"/>
  <c r="J27" i="7"/>
  <c r="L26" i="7"/>
  <c r="K26" i="7"/>
  <c r="J26" i="7"/>
  <c r="L25" i="7"/>
  <c r="K25" i="7"/>
  <c r="K32" i="7" s="1"/>
  <c r="K58" i="7" s="1"/>
  <c r="J25" i="7"/>
  <c r="F32" i="7"/>
  <c r="D32" i="7"/>
  <c r="D61" i="9"/>
  <c r="D58" i="7" s="1"/>
  <c r="D60" i="9"/>
  <c r="D57" i="7" s="1"/>
  <c r="C44" i="9"/>
  <c r="D41" i="9"/>
  <c r="D72" i="9" s="1"/>
  <c r="C72" i="9" s="1"/>
  <c r="C38" i="9"/>
  <c r="C35" i="9"/>
  <c r="C24" i="9"/>
  <c r="C21" i="9"/>
  <c r="C18" i="9"/>
  <c r="C12" i="9"/>
  <c r="C9" i="9"/>
  <c r="D8" i="9"/>
  <c r="D29" i="9" s="1"/>
  <c r="C58" i="7" s="1"/>
  <c r="D7" i="9"/>
  <c r="D28" i="9" s="1"/>
  <c r="C57" i="7" s="1"/>
  <c r="D6" i="9"/>
  <c r="C15" i="9"/>
  <c r="D117" i="9"/>
  <c r="K117" i="9" s="1"/>
  <c r="H116" i="9"/>
  <c r="G116" i="9"/>
  <c r="D116" i="9"/>
  <c r="H115" i="9"/>
  <c r="D115" i="9"/>
  <c r="D114" i="9"/>
  <c r="K114" i="9" s="1"/>
  <c r="H113" i="9"/>
  <c r="D113" i="9"/>
  <c r="H112" i="9"/>
  <c r="D112" i="9"/>
  <c r="C112" i="9" s="1"/>
  <c r="D111" i="9"/>
  <c r="K111" i="9" s="1"/>
  <c r="H110" i="9"/>
  <c r="D110" i="9"/>
  <c r="H109" i="9"/>
  <c r="D109" i="9"/>
  <c r="C109" i="9" s="1"/>
  <c r="H108" i="9"/>
  <c r="D108" i="9"/>
  <c r="H107" i="9"/>
  <c r="D107" i="9"/>
  <c r="H106" i="9"/>
  <c r="D106" i="9"/>
  <c r="D105" i="9"/>
  <c r="K105" i="9" s="1"/>
  <c r="H104" i="9"/>
  <c r="D104" i="9"/>
  <c r="H103" i="9"/>
  <c r="D103" i="9"/>
  <c r="D102" i="9"/>
  <c r="K102" i="9" s="1"/>
  <c r="H101" i="9"/>
  <c r="D101" i="9"/>
  <c r="H100" i="9"/>
  <c r="D100" i="9"/>
  <c r="K100" i="9" s="1"/>
  <c r="H99" i="9"/>
  <c r="D99" i="9"/>
  <c r="H98" i="9"/>
  <c r="D98" i="9"/>
  <c r="H97" i="9"/>
  <c r="D97" i="9"/>
  <c r="C97" i="9" s="1"/>
  <c r="D96" i="9"/>
  <c r="K96" i="9" s="1"/>
  <c r="D95" i="9"/>
  <c r="K95" i="9" s="1"/>
  <c r="H94" i="9"/>
  <c r="D94" i="9"/>
  <c r="D119" i="9"/>
  <c r="E57" i="7" s="1"/>
  <c r="K58" i="9"/>
  <c r="H57" i="9"/>
  <c r="G57" i="9"/>
  <c r="H56" i="9"/>
  <c r="K56" i="9" s="1"/>
  <c r="K55" i="9"/>
  <c r="H54" i="9"/>
  <c r="K54" i="9" s="1"/>
  <c r="H53" i="9"/>
  <c r="K53" i="9" s="1"/>
  <c r="K52" i="9"/>
  <c r="H51" i="9"/>
  <c r="K51" i="9" s="1"/>
  <c r="H50" i="9"/>
  <c r="K50" i="9" s="1"/>
  <c r="H49" i="9"/>
  <c r="K49" i="9" s="1"/>
  <c r="H48" i="9"/>
  <c r="K48" i="9" s="1"/>
  <c r="H47" i="9"/>
  <c r="K47" i="9" s="1"/>
  <c r="K46" i="9"/>
  <c r="H45" i="9"/>
  <c r="K45" i="9" s="1"/>
  <c r="H44" i="9"/>
  <c r="K44" i="9" s="1"/>
  <c r="K43" i="9"/>
  <c r="H42" i="9"/>
  <c r="K42" i="9" s="1"/>
  <c r="H41" i="9"/>
  <c r="K41" i="9" s="1"/>
  <c r="L42" i="9" s="1"/>
  <c r="H40" i="9"/>
  <c r="K40" i="9" s="1"/>
  <c r="H39" i="9"/>
  <c r="K39" i="9" s="1"/>
  <c r="H38" i="9"/>
  <c r="K38" i="9" s="1"/>
  <c r="K37" i="9"/>
  <c r="K36" i="9"/>
  <c r="K35" i="9"/>
  <c r="L36" i="9" s="1"/>
  <c r="H35" i="9"/>
  <c r="K26" i="9"/>
  <c r="H25" i="9"/>
  <c r="G25" i="9"/>
  <c r="K25" i="9" s="1"/>
  <c r="H24" i="9"/>
  <c r="K24" i="9" s="1"/>
  <c r="K23" i="9"/>
  <c r="H22" i="9"/>
  <c r="K22" i="9" s="1"/>
  <c r="H21" i="9"/>
  <c r="K21" i="9" s="1"/>
  <c r="L21" i="9" s="1"/>
  <c r="H20" i="9"/>
  <c r="K20" i="9" s="1"/>
  <c r="H19" i="9"/>
  <c r="K19" i="9" s="1"/>
  <c r="H18" i="9"/>
  <c r="K18" i="9" s="1"/>
  <c r="K17" i="9"/>
  <c r="H16" i="9"/>
  <c r="K16" i="9" s="1"/>
  <c r="H15" i="9"/>
  <c r="K15" i="9" s="1"/>
  <c r="K14" i="9"/>
  <c r="H13" i="9"/>
  <c r="K13" i="9" s="1"/>
  <c r="H12" i="9"/>
  <c r="K12" i="9" s="1"/>
  <c r="H11" i="9"/>
  <c r="K11" i="9" s="1"/>
  <c r="H10" i="9"/>
  <c r="K10" i="9" s="1"/>
  <c r="H9" i="9"/>
  <c r="K9" i="9" s="1"/>
  <c r="K8" i="9"/>
  <c r="K7" i="9"/>
  <c r="H6" i="9"/>
  <c r="K6" i="9" s="1"/>
  <c r="K101" i="9" l="1"/>
  <c r="L101" i="9" s="1"/>
  <c r="K106" i="9"/>
  <c r="K57" i="9"/>
  <c r="D120" i="9"/>
  <c r="E58" i="7" s="1"/>
  <c r="K113" i="9"/>
  <c r="D59" i="9"/>
  <c r="D118" i="9" s="1"/>
  <c r="K107" i="9"/>
  <c r="K108" i="9"/>
  <c r="K116" i="9"/>
  <c r="C41" i="9"/>
  <c r="C59" i="9" s="1"/>
  <c r="K27" i="9"/>
  <c r="K29" i="9"/>
  <c r="L51" i="9"/>
  <c r="K28" i="9"/>
  <c r="L54" i="9"/>
  <c r="K110" i="9"/>
  <c r="L48" i="9"/>
  <c r="K59" i="9"/>
  <c r="K103" i="9"/>
  <c r="K104" i="9"/>
  <c r="C6" i="9"/>
  <c r="C27" i="9" s="1"/>
  <c r="D27" i="9"/>
  <c r="C56" i="7" s="1"/>
  <c r="C59" i="7" s="1"/>
  <c r="I10" i="17"/>
  <c r="K10" i="17"/>
  <c r="J32" i="7"/>
  <c r="J58" i="7" s="1"/>
  <c r="L32" i="7"/>
  <c r="L58" i="7" s="1"/>
  <c r="J45" i="7"/>
  <c r="J52" i="7" s="1"/>
  <c r="J60" i="7" s="1"/>
  <c r="G52" i="7"/>
  <c r="L46" i="7"/>
  <c r="L52" i="7" s="1"/>
  <c r="L60" i="7" s="1"/>
  <c r="K42" i="7"/>
  <c r="K59" i="7" s="1"/>
  <c r="J35" i="7"/>
  <c r="J42" i="7" s="1"/>
  <c r="J59" i="7" s="1"/>
  <c r="L35" i="7"/>
  <c r="L42" i="7" s="1"/>
  <c r="L59" i="7" s="1"/>
  <c r="C115" i="9"/>
  <c r="L45" i="9"/>
  <c r="K61" i="9"/>
  <c r="C94" i="9"/>
  <c r="L9" i="9"/>
  <c r="K94" i="9"/>
  <c r="L95" i="9" s="1"/>
  <c r="K98" i="9"/>
  <c r="K99" i="9"/>
  <c r="K120" i="9" s="1"/>
  <c r="C100" i="9"/>
  <c r="C103" i="9"/>
  <c r="C106" i="9"/>
  <c r="L12" i="9"/>
  <c r="L15" i="9"/>
  <c r="K97" i="9"/>
  <c r="K109" i="9"/>
  <c r="K112" i="9"/>
  <c r="L113" i="9" s="1"/>
  <c r="K115" i="9"/>
  <c r="K60" i="9"/>
  <c r="L39" i="9"/>
  <c r="L57" i="9"/>
  <c r="L6" i="9"/>
  <c r="L18" i="9"/>
  <c r="L24" i="9"/>
  <c r="L59" i="9" l="1"/>
  <c r="L107" i="9"/>
  <c r="D56" i="7"/>
  <c r="D59" i="7" s="1"/>
  <c r="E56" i="7"/>
  <c r="E59" i="7" s="1"/>
  <c r="C118" i="9"/>
  <c r="L98" i="9"/>
  <c r="L27" i="9"/>
  <c r="C64" i="7" s="1"/>
  <c r="C87" i="9"/>
  <c r="D87" i="9"/>
  <c r="K72" i="9"/>
  <c r="L116" i="9"/>
  <c r="L110" i="9"/>
  <c r="K119" i="9"/>
  <c r="L104" i="9"/>
  <c r="K118" i="9"/>
  <c r="L118" i="9" s="1"/>
  <c r="E64" i="7" s="1"/>
  <c r="D64" i="7"/>
  <c r="L73" i="9" l="1"/>
  <c r="K87" i="9"/>
  <c r="E9" i="5"/>
  <c r="D16" i="5"/>
  <c r="D9" i="5"/>
  <c r="L88" i="9" l="1"/>
  <c r="J9" i="17"/>
  <c r="J12" i="17" s="1"/>
  <c r="D8" i="17"/>
  <c r="D11" i="17" s="1"/>
  <c r="I35" i="2"/>
  <c r="C9" i="2"/>
  <c r="U48" i="10"/>
  <c r="U9" i="10"/>
  <c r="D7" i="14" l="1"/>
  <c r="G8" i="14"/>
  <c r="I8" i="14"/>
  <c r="E33" i="17" l="1"/>
  <c r="C33" i="17"/>
  <c r="E12" i="14"/>
  <c r="E11" i="14"/>
  <c r="G6" i="20"/>
  <c r="G7" i="20"/>
  <c r="G8" i="20"/>
  <c r="G9" i="20"/>
  <c r="G10" i="20"/>
  <c r="G11" i="20"/>
  <c r="G12" i="20"/>
  <c r="G5" i="20"/>
  <c r="G4" i="19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3" i="19"/>
  <c r="U105" i="10"/>
  <c r="H11" i="18" l="1"/>
  <c r="E11" i="18"/>
  <c r="D11" i="18"/>
  <c r="K10" i="18"/>
  <c r="J10" i="18"/>
  <c r="K7" i="18"/>
  <c r="J7" i="18"/>
  <c r="K5" i="18"/>
  <c r="J5" i="18"/>
  <c r="K8" i="18"/>
  <c r="J8" i="18"/>
  <c r="K6" i="18"/>
  <c r="J6" i="18"/>
  <c r="K4" i="18"/>
  <c r="J4" i="18"/>
  <c r="K3" i="18"/>
  <c r="K11" i="18" s="1"/>
  <c r="J3" i="18"/>
  <c r="J11" i="18" s="1"/>
  <c r="K5" i="15" l="1"/>
  <c r="J5" i="15"/>
  <c r="F22" i="7" l="1"/>
  <c r="F12" i="7"/>
  <c r="E6" i="2" l="1"/>
  <c r="E8" i="2"/>
  <c r="E13" i="2"/>
  <c r="E15" i="2"/>
  <c r="D13" i="15" l="1"/>
  <c r="H13" i="15"/>
  <c r="K13" i="15" l="1"/>
  <c r="J13" i="15"/>
  <c r="I11" i="17" l="1"/>
  <c r="E33" i="12"/>
  <c r="E32" i="12"/>
  <c r="E31" i="12"/>
  <c r="E30" i="12"/>
  <c r="E29" i="12"/>
  <c r="E17" i="12"/>
  <c r="E16" i="12"/>
  <c r="E15" i="12"/>
  <c r="E14" i="12"/>
  <c r="E13" i="12"/>
  <c r="G18" i="12"/>
  <c r="G16" i="12" s="1"/>
  <c r="H16" i="12" s="1"/>
  <c r="C10" i="12"/>
  <c r="J16" i="12" l="1"/>
  <c r="G14" i="12"/>
  <c r="G17" i="12"/>
  <c r="G15" i="12"/>
  <c r="J14" i="12" l="1"/>
  <c r="H14" i="12"/>
  <c r="J15" i="12"/>
  <c r="H15" i="12"/>
  <c r="J17" i="12"/>
  <c r="H17" i="12"/>
  <c r="J13" i="12"/>
  <c r="J18" i="12" s="1"/>
  <c r="C42" i="17" l="1"/>
  <c r="H18" i="12"/>
  <c r="C9" i="17"/>
  <c r="U28" i="10"/>
  <c r="U67" i="10"/>
  <c r="U86" i="10"/>
  <c r="G34" i="12" l="1"/>
  <c r="G33" i="12" l="1"/>
  <c r="G32" i="12"/>
  <c r="G31" i="12"/>
  <c r="G30" i="12"/>
  <c r="J31" i="12" l="1"/>
  <c r="H31" i="12"/>
  <c r="J33" i="12"/>
  <c r="H33" i="12"/>
  <c r="J30" i="12"/>
  <c r="H30" i="12"/>
  <c r="J32" i="12"/>
  <c r="H32" i="12"/>
  <c r="E42" i="17" l="1"/>
  <c r="E9" i="17"/>
  <c r="K21" i="7" l="1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L11" i="7"/>
  <c r="L9" i="7"/>
  <c r="L8" i="7"/>
  <c r="K7" i="7"/>
  <c r="J11" i="7"/>
  <c r="J8" i="7"/>
  <c r="J7" i="7"/>
  <c r="L5" i="7"/>
  <c r="K11" i="7"/>
  <c r="K10" i="7"/>
  <c r="L10" i="7"/>
  <c r="J10" i="7"/>
  <c r="J9" i="7"/>
  <c r="K8" i="7"/>
  <c r="K6" i="7"/>
  <c r="L6" i="7"/>
  <c r="J6" i="7"/>
  <c r="K22" i="7" l="1"/>
  <c r="K57" i="7" s="1"/>
  <c r="J22" i="7"/>
  <c r="J57" i="7" s="1"/>
  <c r="D12" i="7"/>
  <c r="L7" i="7"/>
  <c r="L12" i="7" s="1"/>
  <c r="L56" i="7" s="1"/>
  <c r="K9" i="7"/>
  <c r="J5" i="7"/>
  <c r="J12" i="7" s="1"/>
  <c r="J56" i="7" s="1"/>
  <c r="J61" i="7" s="1"/>
  <c r="E12" i="7"/>
  <c r="D22" i="7"/>
  <c r="E22" i="7"/>
  <c r="L16" i="7"/>
  <c r="L17" i="7"/>
  <c r="L18" i="7"/>
  <c r="L19" i="7"/>
  <c r="L20" i="7"/>
  <c r="L21" i="7"/>
  <c r="K5" i="7"/>
  <c r="K12" i="7" s="1"/>
  <c r="K56" i="7" l="1"/>
  <c r="K61" i="7" s="1"/>
  <c r="D63" i="7"/>
  <c r="D65" i="7" s="1"/>
  <c r="C8" i="17" s="1"/>
  <c r="I9" i="17" s="1"/>
  <c r="C63" i="7"/>
  <c r="C65" i="7" s="1"/>
  <c r="G12" i="7"/>
  <c r="L15" i="7"/>
  <c r="G22" i="7"/>
  <c r="L22" i="7"/>
  <c r="E63" i="7" l="1"/>
  <c r="E65" i="7" s="1"/>
  <c r="L57" i="7"/>
  <c r="L61" i="7" s="1"/>
  <c r="E8" i="17"/>
  <c r="G14" i="5"/>
  <c r="G8" i="5"/>
  <c r="G7" i="5"/>
  <c r="C16" i="2"/>
  <c r="C40" i="17" s="1"/>
  <c r="I8" i="5" l="1"/>
  <c r="F8" i="5"/>
  <c r="I7" i="5"/>
  <c r="F7" i="5"/>
  <c r="F34" i="5"/>
  <c r="F14" i="5"/>
  <c r="C31" i="17" s="1"/>
  <c r="K9" i="17"/>
  <c r="D34" i="2"/>
  <c r="J34" i="2" s="1"/>
  <c r="G9" i="5"/>
  <c r="I9" i="5" s="1"/>
  <c r="I14" i="5"/>
  <c r="I7" i="17" s="1"/>
  <c r="F35" i="5"/>
  <c r="F36" i="5" s="1"/>
  <c r="F37" i="5" s="1"/>
  <c r="F38" i="5" s="1"/>
  <c r="F39" i="5" s="1"/>
  <c r="F40" i="5" s="1"/>
  <c r="G6" i="5"/>
  <c r="F6" i="5" s="1"/>
  <c r="F9" i="5" s="1"/>
  <c r="G13" i="5"/>
  <c r="G15" i="5"/>
  <c r="E16" i="5"/>
  <c r="E16" i="2"/>
  <c r="C6" i="17" s="1"/>
  <c r="G34" i="5" l="1"/>
  <c r="F15" i="5"/>
  <c r="C32" i="17" s="1"/>
  <c r="E34" i="5"/>
  <c r="F13" i="5"/>
  <c r="G16" i="5"/>
  <c r="G34" i="2"/>
  <c r="K34" i="2" s="1"/>
  <c r="E35" i="2"/>
  <c r="G35" i="2" s="1"/>
  <c r="E35" i="5"/>
  <c r="E36" i="5" s="1"/>
  <c r="E37" i="5" s="1"/>
  <c r="E38" i="5" s="1"/>
  <c r="E39" i="5" s="1"/>
  <c r="E40" i="5" s="1"/>
  <c r="E36" i="2"/>
  <c r="I15" i="5"/>
  <c r="I8" i="17" s="1"/>
  <c r="G35" i="5"/>
  <c r="G36" i="5" s="1"/>
  <c r="G37" i="5" s="1"/>
  <c r="G38" i="5" s="1"/>
  <c r="G39" i="5" s="1"/>
  <c r="G40" i="5" s="1"/>
  <c r="I6" i="5"/>
  <c r="C34" i="5"/>
  <c r="I34" i="5" s="1"/>
  <c r="I13" i="5"/>
  <c r="I6" i="17" s="1"/>
  <c r="I12" i="17" s="1"/>
  <c r="C30" i="17" l="1"/>
  <c r="C35" i="17" s="1"/>
  <c r="F16" i="5"/>
  <c r="C41" i="17" s="1"/>
  <c r="C44" i="17" s="1"/>
  <c r="D35" i="5"/>
  <c r="E37" i="2"/>
  <c r="G36" i="2"/>
  <c r="I16" i="5"/>
  <c r="C7" i="17" s="1"/>
  <c r="C11" i="17" s="1"/>
  <c r="E38" i="2" l="1"/>
  <c r="G37" i="2"/>
  <c r="D36" i="5"/>
  <c r="I35" i="5"/>
  <c r="E9" i="2"/>
  <c r="E39" i="2" l="1"/>
  <c r="G38" i="2"/>
  <c r="D37" i="5"/>
  <c r="I36" i="5"/>
  <c r="G39" i="2" l="1"/>
  <c r="E40" i="2"/>
  <c r="D38" i="5"/>
  <c r="I37" i="5"/>
  <c r="C30" i="2" l="1"/>
  <c r="J35" i="2"/>
  <c r="G40" i="2"/>
  <c r="K35" i="2" s="1"/>
  <c r="D39" i="5"/>
  <c r="D40" i="5" s="1"/>
  <c r="I38" i="5"/>
  <c r="C27" i="2" l="1"/>
  <c r="E27" i="2" s="1"/>
  <c r="E40" i="17"/>
  <c r="E30" i="5"/>
  <c r="E27" i="5" s="1"/>
  <c r="I39" i="5"/>
  <c r="D27" i="5" l="1"/>
  <c r="F27" i="5"/>
  <c r="E29" i="2"/>
  <c r="E30" i="2" l="1"/>
  <c r="E6" i="17" s="1"/>
  <c r="I40" i="5" l="1"/>
  <c r="E28" i="5" l="1"/>
  <c r="E29" i="5"/>
  <c r="D29" i="5" l="1"/>
  <c r="F29" i="5"/>
  <c r="E32" i="17" s="1"/>
  <c r="D28" i="5"/>
  <c r="F28" i="5"/>
  <c r="F30" i="5" s="1"/>
  <c r="E41" i="17" s="1"/>
  <c r="H28" i="5"/>
  <c r="H27" i="5"/>
  <c r="H29" i="5"/>
  <c r="K8" i="17" s="1"/>
  <c r="D30" i="5" l="1"/>
  <c r="H30" i="5"/>
  <c r="E7" i="17" s="1"/>
  <c r="F61" i="12" l="1"/>
  <c r="G29" i="12" s="1"/>
  <c r="F62" i="12"/>
  <c r="I62" i="12" s="1"/>
  <c r="K11" i="17" s="1"/>
  <c r="F60" i="12"/>
  <c r="G60" i="12" s="1"/>
  <c r="G62" i="12" l="1"/>
  <c r="E34" i="17" s="1"/>
  <c r="E31" i="17"/>
  <c r="H29" i="12"/>
  <c r="H34" i="12" s="1"/>
  <c r="J29" i="12"/>
  <c r="J34" i="12" s="1"/>
  <c r="I61" i="12"/>
  <c r="K6" i="17" s="1"/>
  <c r="I60" i="12"/>
  <c r="G61" i="12"/>
  <c r="E30" i="17" s="1"/>
  <c r="I64" i="12" l="1"/>
  <c r="E10" i="17" s="1"/>
  <c r="E11" i="17" s="1"/>
  <c r="K7" i="17"/>
  <c r="K12" i="17" s="1"/>
  <c r="G64" i="12"/>
  <c r="E43" i="17" s="1"/>
  <c r="E35" i="17"/>
  <c r="E44" i="17" l="1"/>
</calcChain>
</file>

<file path=xl/sharedStrings.xml><?xml version="1.0" encoding="utf-8"?>
<sst xmlns="http://schemas.openxmlformats.org/spreadsheetml/2006/main" count="1251" uniqueCount="497">
  <si>
    <t>Karta informacyjna</t>
  </si>
  <si>
    <t>Nazwa projektu</t>
  </si>
  <si>
    <t>Opis Projektu</t>
  </si>
  <si>
    <t>Spis tabel</t>
  </si>
  <si>
    <t>Nazwa</t>
  </si>
  <si>
    <t>Opis</t>
  </si>
  <si>
    <t>INFO</t>
  </si>
  <si>
    <t>gaz</t>
  </si>
  <si>
    <r>
      <t>Wykresy obrazujące emisję 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z ruchu tranzytowego i lokalnego </t>
    </r>
  </si>
  <si>
    <t>Oświetlenie</t>
  </si>
  <si>
    <t>Ob. publ.</t>
  </si>
  <si>
    <t>Ciepło</t>
  </si>
  <si>
    <t>Ciepło wykr.</t>
  </si>
  <si>
    <t>SUMA</t>
  </si>
  <si>
    <t>Opis zawartości dokumentu</t>
  </si>
  <si>
    <t>Liczba odbiorców</t>
  </si>
  <si>
    <t>Zużycie MWh</t>
  </si>
  <si>
    <t>A</t>
  </si>
  <si>
    <t>B</t>
  </si>
  <si>
    <t>G</t>
  </si>
  <si>
    <t>rok</t>
  </si>
  <si>
    <t>Zużycie [MWh]</t>
  </si>
  <si>
    <r>
      <t>Emisja [Mg CO</t>
    </r>
    <r>
      <rPr>
        <b/>
        <vertAlign val="subscript"/>
        <sz val="11"/>
        <color theme="1"/>
        <rFont val="Calibri"/>
        <family val="2"/>
        <charset val="238"/>
        <scheme val="minor"/>
      </rPr>
      <t>2]</t>
    </r>
  </si>
  <si>
    <r>
      <t>wskaźnik emisji [Mg CO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/MWh]</t>
    </r>
  </si>
  <si>
    <r>
      <t>Emisja [Mg CO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]</t>
    </r>
  </si>
  <si>
    <t>Rok</t>
  </si>
  <si>
    <t>Prognoza do roku 2020</t>
  </si>
  <si>
    <t>Faktyczne zużycie energii elektrycznej [MWh]</t>
  </si>
  <si>
    <t>Prognozowane zużycie energii elektrycznej [MWh]</t>
  </si>
  <si>
    <t>Zestawienie</t>
  </si>
  <si>
    <t>Energia elektryczna - zużycie i emisja</t>
  </si>
  <si>
    <t>Energia elektryczna - zużycie i emisja - wykresy</t>
  </si>
  <si>
    <t>En. elektryczna wykr.</t>
  </si>
  <si>
    <t>En. elektryczna</t>
  </si>
  <si>
    <t>Gaz - zużycie i emisja</t>
  </si>
  <si>
    <t>zużycie gazu [GJ]</t>
  </si>
  <si>
    <t>wskaźnik emisji [Mg CO2/GJ]</t>
  </si>
  <si>
    <t>Emisja CO2 [Mg CO2]</t>
  </si>
  <si>
    <t>Przemysł</t>
  </si>
  <si>
    <r>
      <t>zużycie gazu [m</t>
    </r>
    <r>
      <rPr>
        <b/>
        <vertAlign val="superscript"/>
        <sz val="11"/>
        <color rgb="FF000000"/>
        <rFont val="Calibri"/>
        <family val="2"/>
        <charset val="238"/>
      </rPr>
      <t>3</t>
    </r>
    <r>
      <rPr>
        <b/>
        <sz val="11"/>
        <color rgb="FF000000"/>
        <rFont val="Calibri"/>
        <family val="2"/>
        <charset val="238"/>
      </rPr>
      <t>]</t>
    </r>
  </si>
  <si>
    <t>Faktyczne zużycie gazu [GJ]</t>
  </si>
  <si>
    <t>Prognozowane zużycie gazu ogółem [GJ]</t>
  </si>
  <si>
    <t>w przemyśle [GJ]</t>
  </si>
  <si>
    <t>Gaz - zużycie i emisja - wykresy</t>
  </si>
  <si>
    <t>Wskaźnik [g/km]</t>
  </si>
  <si>
    <t>Dł. Drogi [km]</t>
  </si>
  <si>
    <t xml:space="preserve">Sam. Osobowe </t>
  </si>
  <si>
    <t>Motocykle</t>
  </si>
  <si>
    <t>Lekkie samochody ciężarowe (dostawcze)</t>
  </si>
  <si>
    <t>Samochody ciężarowe</t>
  </si>
  <si>
    <t>bez przycz.</t>
  </si>
  <si>
    <t>z przycz</t>
  </si>
  <si>
    <t xml:space="preserve">Autobusy </t>
  </si>
  <si>
    <t>Ciągniki rolnicze</t>
  </si>
  <si>
    <t>Transport lokalny</t>
  </si>
  <si>
    <t>Tranzyt</t>
  </si>
  <si>
    <t>Ruch tranzytowy - emisja</t>
  </si>
  <si>
    <t>Liczba pojazdów</t>
  </si>
  <si>
    <t>Benzyna</t>
  </si>
  <si>
    <t>Autobusy</t>
  </si>
  <si>
    <t>Ruch lokalny - emisja</t>
  </si>
  <si>
    <t>Liczba mieszkańców</t>
  </si>
  <si>
    <t>Liczba nowych mieszkań</t>
  </si>
  <si>
    <r>
      <t>Ogólna powierzchnia mieszkań [m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]</t>
    </r>
  </si>
  <si>
    <t>Zarejestrowane podmioty gospodarcze</t>
  </si>
  <si>
    <t>Mieszkania z dostępem do gazu sieciowego</t>
  </si>
  <si>
    <t>średnioroczny trend zmian</t>
  </si>
  <si>
    <t>Prognoza liczby mieszkańców</t>
  </si>
  <si>
    <t>Nowe mieszkania</t>
  </si>
  <si>
    <r>
      <t>Prognoza ogólnej powierzchni mieszkań [m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]</t>
    </r>
  </si>
  <si>
    <t>średnia powierzchnia</t>
  </si>
  <si>
    <t>Prognoza zarejestrowanych podmiotów gospodarczych</t>
  </si>
  <si>
    <t>liczba podmiotów</t>
  </si>
  <si>
    <t>Liczba mieszkań</t>
  </si>
  <si>
    <t>Prognoza ilości mieszkań z dost. do gazu sieciowego</t>
  </si>
  <si>
    <t>Prognoza liczby mieszkań</t>
  </si>
  <si>
    <t>Horyzont czasowy</t>
  </si>
  <si>
    <t>Mieszkania</t>
  </si>
  <si>
    <t>Mieszkańcy</t>
  </si>
  <si>
    <t>Powierzchnia mieszkań</t>
  </si>
  <si>
    <t>Powierzchnia   mieszkań</t>
  </si>
  <si>
    <t>Chrakterystyka</t>
  </si>
  <si>
    <t>Rodzaj paliwa</t>
  </si>
  <si>
    <t>L. pojazdów w roku 2020</t>
  </si>
  <si>
    <t>Emisja w transporcie</t>
  </si>
  <si>
    <t>Transport - emisja - wykresy</t>
  </si>
  <si>
    <t>Gaz</t>
  </si>
  <si>
    <t>Gaz wykr.</t>
  </si>
  <si>
    <t>Ruch lokalny</t>
  </si>
  <si>
    <t>Transport wykr.</t>
  </si>
  <si>
    <t>Ciepło sieciowe i paliwa opałowe - zużycie i emisja</t>
  </si>
  <si>
    <t>%</t>
  </si>
  <si>
    <t>olej opałowy</t>
  </si>
  <si>
    <t>Struktura wykorzystania paliw</t>
  </si>
  <si>
    <t>Zapotrzebowanie na energię cieplną</t>
  </si>
  <si>
    <t>Ogólne zapotrzebowanie na energię w roku 2020 r. [GJ]</t>
  </si>
  <si>
    <t>zapotrzebowanie na energię [GJ/m2]</t>
  </si>
  <si>
    <t>węgiel i ekogroszek</t>
  </si>
  <si>
    <t>ciepło systemowe</t>
  </si>
  <si>
    <r>
      <t>wskaźnik emisji [MG CO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/GJ]</t>
    </r>
  </si>
  <si>
    <t>Zużycie ciepła [GJ]</t>
  </si>
  <si>
    <t>2020 - Prognoza</t>
  </si>
  <si>
    <t>en. elektryczna</t>
  </si>
  <si>
    <t>Potrzeby cieplne zaspokajane z danego rodzaju paliwa [GJ]</t>
  </si>
  <si>
    <t>Ciepło sieciowe i paliwa opałowe - zużycie i emisja - wykresy</t>
  </si>
  <si>
    <t>Ilość opraw</t>
  </si>
  <si>
    <t>Zużycie energii [MWh]</t>
  </si>
  <si>
    <t>Lp</t>
  </si>
  <si>
    <t>Podmiot</t>
  </si>
  <si>
    <r>
      <t>Powierzchnia użytkowa [m</t>
    </r>
    <r>
      <rPr>
        <b/>
        <vertAlign val="superscript"/>
        <sz val="11"/>
        <color indexed="8"/>
        <rFont val="Calibri"/>
        <family val="2"/>
        <charset val="238"/>
        <scheme val="minor"/>
      </rPr>
      <t>2</t>
    </r>
    <r>
      <rPr>
        <b/>
        <sz val="11"/>
        <color indexed="8"/>
        <rFont val="Calibri"/>
        <family val="2"/>
        <charset val="238"/>
        <scheme val="minor"/>
      </rPr>
      <t>]</t>
    </r>
  </si>
  <si>
    <t>Zużycie energii elektrycznej [MWh]</t>
  </si>
  <si>
    <t>Źródło ciepła</t>
  </si>
  <si>
    <r>
      <t>Emisja CO</t>
    </r>
    <r>
      <rPr>
        <b/>
        <vertAlign val="subscript"/>
        <sz val="11"/>
        <color indexed="8"/>
        <rFont val="Calibri"/>
        <family val="2"/>
        <charset val="238"/>
        <scheme val="minor"/>
      </rPr>
      <t>2</t>
    </r>
    <r>
      <rPr>
        <b/>
        <sz val="11"/>
        <color indexed="8"/>
        <rFont val="Calibri"/>
        <family val="2"/>
        <charset val="238"/>
        <scheme val="minor"/>
      </rPr>
      <t xml:space="preserve"> ze zużycia energii na potrz. Cieplnej [Mg CO</t>
    </r>
    <r>
      <rPr>
        <b/>
        <vertAlign val="subscript"/>
        <sz val="11"/>
        <color indexed="8"/>
        <rFont val="Calibri"/>
        <family val="2"/>
        <charset val="238"/>
        <scheme val="minor"/>
      </rPr>
      <t>2</t>
    </r>
    <r>
      <rPr>
        <b/>
        <sz val="11"/>
        <color indexed="8"/>
        <rFont val="Calibri"/>
        <family val="2"/>
        <charset val="238"/>
        <scheme val="minor"/>
      </rPr>
      <t>]</t>
    </r>
  </si>
  <si>
    <t>Wskaźniki</t>
  </si>
  <si>
    <t>Energia elek.</t>
  </si>
  <si>
    <t>Węgiel</t>
  </si>
  <si>
    <t>Olej opałowy</t>
  </si>
  <si>
    <t>Ciepło sieciowe</t>
  </si>
  <si>
    <t>Paliwo</t>
  </si>
  <si>
    <t>Źrodło</t>
  </si>
  <si>
    <r>
      <t>wskaźnik emisji [MG CO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/MWh]</t>
    </r>
  </si>
  <si>
    <t>Bilans emisji wg rodzajów paliw</t>
  </si>
  <si>
    <t>energia elektryczna</t>
  </si>
  <si>
    <t>paliwa transportowe</t>
  </si>
  <si>
    <t>paliwa opałowe</t>
  </si>
  <si>
    <t>Bilans emisji wg sektorów</t>
  </si>
  <si>
    <t>Handel i usługi</t>
  </si>
  <si>
    <t>Transport</t>
  </si>
  <si>
    <t>rok 2020 - prognoza</t>
  </si>
  <si>
    <t>Bilans</t>
  </si>
  <si>
    <t>Samochody osobowe</t>
  </si>
  <si>
    <t>Samochody dostawcze</t>
  </si>
  <si>
    <t>Samochody ciężarowe z naczepą</t>
  </si>
  <si>
    <t>Jednostka</t>
  </si>
  <si>
    <t>Wskaźnik</t>
  </si>
  <si>
    <r>
      <t>Mg CO</t>
    </r>
    <r>
      <rPr>
        <vertAlign val="subscript"/>
        <sz val="11"/>
        <color rgb="FF000000"/>
        <rFont val="Calibri"/>
        <family val="2"/>
        <charset val="238"/>
        <scheme val="minor"/>
      </rPr>
      <t>2</t>
    </r>
    <r>
      <rPr>
        <sz val="11"/>
        <color rgb="FF000000"/>
        <rFont val="Calibri"/>
        <family val="2"/>
        <charset val="238"/>
        <scheme val="minor"/>
      </rPr>
      <t>/GJ</t>
    </r>
  </si>
  <si>
    <r>
      <t>g CO</t>
    </r>
    <r>
      <rPr>
        <vertAlign val="subscript"/>
        <sz val="11"/>
        <color rgb="FF000000"/>
        <rFont val="Calibri"/>
        <family val="2"/>
        <charset val="238"/>
        <scheme val="minor"/>
      </rPr>
      <t>2</t>
    </r>
    <r>
      <rPr>
        <sz val="11"/>
        <color rgb="FF000000"/>
        <rFont val="Calibri"/>
        <family val="2"/>
        <charset val="238"/>
        <scheme val="minor"/>
      </rPr>
      <t>/km</t>
    </r>
  </si>
  <si>
    <t>Załącznik nr 2 - Metodyka - do Regulaminu I konkursu GIS "GAZELA – NISKOEMISYJNY TRANSPORT MIEJSKI"</t>
  </si>
  <si>
    <r>
      <rPr>
        <i/>
        <sz val="11"/>
        <color rgb="FF000000"/>
        <rFont val="Calibri"/>
        <family val="2"/>
        <charset val="238"/>
        <scheme val="minor"/>
      </rPr>
      <t>Wskaźniki emisji CO2 do raportowania w ramach Wspólnotowego Systemu Handlu Uprawnieniami do Emisji za rok 2014</t>
    </r>
    <r>
      <rPr>
        <sz val="11"/>
        <color rgb="FF000000"/>
        <rFont val="Calibri"/>
        <family val="2"/>
        <charset val="238"/>
        <scheme val="minor"/>
      </rPr>
      <t>, Krajowy Ośrodek Bilansowania i Zarządzania Emisjami</t>
    </r>
  </si>
  <si>
    <t xml:space="preserve">Załącznik nr 2 - Metodyka - do Regulaminu I konkursu GIS "SOWA - ENERGOOSZCZĘDNE OŚWIETLENIE ULICZNE"
</t>
  </si>
  <si>
    <t>Zestawienie wskaźników</t>
  </si>
  <si>
    <r>
      <t>Zestawienie wskaźników emisji 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z poszczególnych źródeł, wykorzystanych w dokumencie</t>
    </r>
  </si>
  <si>
    <r>
      <t>Wykresy obrazujące emisję 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generowaną przez wykorzystanie ciepła sieciowego oraz spalanie paliw opałowych</t>
    </r>
  </si>
  <si>
    <r>
      <t>Zestawienie obiektów publicznych wraz z informacją o generowanej emisji CO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</si>
  <si>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r>
      <t>Informacja o emisji 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generowanej porzez zużycia energii elektrycznej na cele oświetleniowe </t>
    </r>
  </si>
  <si>
    <t>Inwentaryzacja emisji</t>
  </si>
  <si>
    <t>średnioroczna wartość</t>
  </si>
  <si>
    <r>
      <t>Średnia powierzchnia mieszkań  [m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]</t>
    </r>
  </si>
  <si>
    <r>
      <t>Prognoza średniej powierzchni mieszkań  [m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]</t>
    </r>
  </si>
  <si>
    <t>Dobowa liczba pojazdów w roku 2020 - prognoza</t>
  </si>
  <si>
    <t>Dobowa liczba pojazdów w roku 2000</t>
  </si>
  <si>
    <r>
      <t>Emisja CO2 [Mg CO</t>
    </r>
    <r>
      <rPr>
        <b/>
        <vertAlign val="subscript"/>
        <sz val="11"/>
        <color rgb="FF000000"/>
        <rFont val="Calibri"/>
        <family val="2"/>
        <charset val="238"/>
        <scheme val="minor"/>
      </rPr>
      <t>2</t>
    </r>
    <r>
      <rPr>
        <b/>
        <sz val="11"/>
        <color rgb="FF000000"/>
        <rFont val="Calibri"/>
        <family val="2"/>
        <charset val="238"/>
        <scheme val="minor"/>
      </rPr>
      <t>] w 2020 roku - prognoza</t>
    </r>
  </si>
  <si>
    <t>Dobowa liczba pojazdów w roku 2010</t>
  </si>
  <si>
    <t>bd</t>
  </si>
  <si>
    <t>Średni przebieg</t>
  </si>
  <si>
    <r>
      <t>Emisja [Mg CO</t>
    </r>
    <r>
      <rPr>
        <b/>
        <vertAlign val="subscript"/>
        <sz val="11"/>
        <color indexed="8"/>
        <rFont val="Calibri"/>
        <family val="2"/>
        <charset val="238"/>
        <scheme val="minor"/>
      </rPr>
      <t>2</t>
    </r>
    <r>
      <rPr>
        <b/>
        <sz val="11"/>
        <color indexed="8"/>
        <rFont val="Calibri"/>
        <family val="2"/>
        <charset val="238"/>
        <scheme val="minor"/>
      </rPr>
      <t>]</t>
    </r>
  </si>
  <si>
    <t>Sam. Osobowe</t>
  </si>
  <si>
    <t>Sam. Ciężarowe</t>
  </si>
  <si>
    <t>Samochody specjalne do 3,5 t</t>
  </si>
  <si>
    <t>Ciągniki samochodowe</t>
  </si>
  <si>
    <t>Emisja z ruchu lokalnego - prognoza na rok 2020</t>
  </si>
  <si>
    <r>
      <t>Emisja CO2 [Mg CO</t>
    </r>
    <r>
      <rPr>
        <b/>
        <vertAlign val="sub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] w 2020 roku - prognoza</t>
    </r>
  </si>
  <si>
    <r>
      <t>wskaźnik emisji [MG CO</t>
    </r>
    <r>
      <rPr>
        <b/>
        <vertAlign val="sub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/GJ]</t>
    </r>
  </si>
  <si>
    <r>
      <t>Emisja [Mg CO</t>
    </r>
    <r>
      <rPr>
        <b/>
        <vertAlign val="sub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]</t>
    </r>
  </si>
  <si>
    <r>
      <t>Emisja CO</t>
    </r>
    <r>
      <rPr>
        <b/>
        <vertAlign val="sub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 xml:space="preserve"> z energii elektrycznej [Mg CO</t>
    </r>
    <r>
      <rPr>
        <b/>
        <vertAlign val="sub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]</t>
    </r>
  </si>
  <si>
    <t>-</t>
  </si>
  <si>
    <t>2020 - prognoza</t>
  </si>
  <si>
    <r>
      <t>Powierzchnia użytkowa [m</t>
    </r>
    <r>
      <rPr>
        <b/>
        <vertAlign val="superscript"/>
        <sz val="8"/>
        <color indexed="8"/>
        <rFont val="Calibri"/>
        <family val="2"/>
        <charset val="238"/>
        <scheme val="minor"/>
      </rPr>
      <t>2</t>
    </r>
    <r>
      <rPr>
        <b/>
        <sz val="8"/>
        <color indexed="8"/>
        <rFont val="Calibri"/>
        <family val="2"/>
        <charset val="238"/>
        <scheme val="minor"/>
      </rPr>
      <t>]</t>
    </r>
  </si>
  <si>
    <r>
      <t>wskaźnik emisji [MG CO</t>
    </r>
    <r>
      <rPr>
        <b/>
        <vertAlign val="subscript"/>
        <sz val="8"/>
        <color theme="1"/>
        <rFont val="Calibri"/>
        <family val="2"/>
        <charset val="238"/>
        <scheme val="minor"/>
      </rPr>
      <t>2</t>
    </r>
    <r>
      <rPr>
        <b/>
        <sz val="8"/>
        <color theme="1"/>
        <rFont val="Calibri"/>
        <family val="2"/>
        <charset val="238"/>
        <scheme val="minor"/>
      </rPr>
      <t>/MWh]</t>
    </r>
  </si>
  <si>
    <r>
      <t>wskaźnik emisji [MG CO</t>
    </r>
    <r>
      <rPr>
        <b/>
        <vertAlign val="subscript"/>
        <sz val="8"/>
        <color theme="1"/>
        <rFont val="Calibri"/>
        <family val="2"/>
        <charset val="238"/>
        <scheme val="minor"/>
      </rPr>
      <t>2</t>
    </r>
    <r>
      <rPr>
        <b/>
        <sz val="8"/>
        <color theme="1"/>
        <rFont val="Calibri"/>
        <family val="2"/>
        <charset val="238"/>
        <scheme val="minor"/>
      </rPr>
      <t>/GJ]</t>
    </r>
  </si>
  <si>
    <r>
      <t>Emisja CO</t>
    </r>
    <r>
      <rPr>
        <b/>
        <vertAlign val="subscript"/>
        <sz val="8"/>
        <rFont val="Calibri"/>
        <family val="2"/>
        <charset val="238"/>
        <scheme val="minor"/>
      </rPr>
      <t>2</t>
    </r>
    <r>
      <rPr>
        <b/>
        <sz val="8"/>
        <rFont val="Calibri"/>
        <family val="2"/>
        <charset val="238"/>
        <scheme val="minor"/>
      </rPr>
      <t xml:space="preserve"> z energii elektrycznej [Mg CO</t>
    </r>
    <r>
      <rPr>
        <b/>
        <vertAlign val="subscript"/>
        <sz val="8"/>
        <rFont val="Calibri"/>
        <family val="2"/>
        <charset val="238"/>
        <scheme val="minor"/>
      </rPr>
      <t>2</t>
    </r>
    <r>
      <rPr>
        <b/>
        <sz val="8"/>
        <rFont val="Calibri"/>
        <family val="2"/>
        <charset val="238"/>
        <scheme val="minor"/>
      </rPr>
      <t>]</t>
    </r>
  </si>
  <si>
    <r>
      <t>Emisja CO</t>
    </r>
    <r>
      <rPr>
        <b/>
        <vertAlign val="subscript"/>
        <sz val="8"/>
        <color indexed="8"/>
        <rFont val="Calibri"/>
        <family val="2"/>
        <charset val="238"/>
        <scheme val="minor"/>
      </rPr>
      <t>2</t>
    </r>
    <r>
      <rPr>
        <b/>
        <sz val="8"/>
        <color indexed="8"/>
        <rFont val="Calibri"/>
        <family val="2"/>
        <charset val="238"/>
        <scheme val="minor"/>
      </rPr>
      <t xml:space="preserve"> ze zużycia energii na potrz. Cieplnej [Mg CO</t>
    </r>
    <r>
      <rPr>
        <b/>
        <vertAlign val="subscript"/>
        <sz val="8"/>
        <color indexed="8"/>
        <rFont val="Calibri"/>
        <family val="2"/>
        <charset val="238"/>
        <scheme val="minor"/>
      </rPr>
      <t>2</t>
    </r>
    <r>
      <rPr>
        <b/>
        <sz val="8"/>
        <color indexed="8"/>
        <rFont val="Calibri"/>
        <family val="2"/>
        <charset val="238"/>
        <scheme val="minor"/>
      </rPr>
      <t>]</t>
    </r>
  </si>
  <si>
    <t>Miejski Zarząd Nieruchomości - ul. Żeromskiego 7, Jastrzębie Zdrój</t>
  </si>
  <si>
    <t>Miejski Zarząd Nieruchomości - ul. Szkolna 5, Jastrzębie Zdrój</t>
  </si>
  <si>
    <t>Miejski Zarząd Nieruchomości, ul. Wyspiańskiego 4, Jastrzębie Zdrój</t>
  </si>
  <si>
    <t>Miejski Zarząd Nieruchomości, ul. Moniuszki 12, Jastrzebie Zdrój</t>
  </si>
  <si>
    <t>Miejski Zarząd Nieruchomości, ul. Wyspiańskiego 2, Jastrzębie Zdrój</t>
  </si>
  <si>
    <t>Miejski Zarząd Nieruchomości, ul. Wyspiańskiego 6, Jastrzębie Zdrój</t>
  </si>
  <si>
    <t>Miejski Zarząd Nieruchomości, ul. Komuny Paryskiej 14-16, Jastrzębie Zdrój</t>
  </si>
  <si>
    <t>Miejski Zarząd Nieruchomości, budynek biurowy, ul. Dworcowa 17E, Jastrzębie Zdrój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</si>
  <si>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</si>
  <si>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</si>
  <si>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</si>
  <si>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</si>
  <si>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</si>
  <si>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</si>
  <si>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</si>
  <si>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</si>
  <si>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</si>
  <si>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</si>
  <si>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</si>
  <si>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</si>
  <si>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</si>
  <si>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</si>
  <si>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</si>
  <si>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SiT</t>
  </si>
  <si>
    <t>przed 1918</t>
  </si>
  <si>
    <t>1918-1944</t>
  </si>
  <si>
    <t>1945-1970</t>
  </si>
  <si>
    <t>1971-1978</t>
  </si>
  <si>
    <t>1979-1988</t>
  </si>
  <si>
    <t>1989-2002</t>
  </si>
  <si>
    <t>2003-2007</t>
  </si>
  <si>
    <t>2008-2011</t>
  </si>
  <si>
    <t>po 2011</t>
  </si>
  <si>
    <t>Charakterystyka miasta</t>
  </si>
  <si>
    <t>Charakterystyka systemu oświetleniowego</t>
  </si>
  <si>
    <t>Moce opraw [W]</t>
  </si>
  <si>
    <t>Roczny czas świecenia</t>
  </si>
  <si>
    <t>Średnia moc oprawy:</t>
  </si>
  <si>
    <t>W</t>
  </si>
  <si>
    <t>Łączna moc systemu:</t>
  </si>
  <si>
    <t>kW</t>
  </si>
  <si>
    <t>Ogólne zapotrzebowanie na energię w roku 2000 r. [GJ]</t>
  </si>
  <si>
    <t>Podstawowe informacje statystyczne dotyczące miasta</t>
  </si>
  <si>
    <t>Arkusz kalkulacyjny inwentaryzacji emisji dwutlenku węgla na terenie miasta Ciechanów, wykonany na potrzeby Planu Gospodarki Niskoemisyjnej</t>
  </si>
  <si>
    <t>Wyższa Szkoła Biznesu i Zarządzania w Ciechanowie, ul. K.Szwanke 1, 06-400 Ciechanów</t>
  </si>
  <si>
    <t>kotłownia gazowa</t>
  </si>
  <si>
    <t>rok 2014</t>
  </si>
  <si>
    <t>rok 2005</t>
  </si>
  <si>
    <t>Handel i Usługi</t>
  </si>
  <si>
    <t>Emisja z ruchu lokalnego rok 2005</t>
  </si>
  <si>
    <t>Emisja z ruchu lokalnego rok 2014</t>
  </si>
  <si>
    <t>Rodzaj Paliwa</t>
  </si>
  <si>
    <t>Gęstość paliwa</t>
  </si>
  <si>
    <t>Średnie spalanie/km</t>
  </si>
  <si>
    <t>wartość opałowa [GJ/kg]</t>
  </si>
  <si>
    <r>
      <t>wskaźnik emisji [kg CO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/GJ]</t>
    </r>
  </si>
  <si>
    <t>Diesel</t>
  </si>
  <si>
    <t>LPG</t>
  </si>
  <si>
    <t>Samochody sanitarne</t>
  </si>
  <si>
    <t>Dobowa liczba pojazdów w roku 2014</t>
  </si>
  <si>
    <r>
      <t>Emisja CO2 [Mg CO</t>
    </r>
    <r>
      <rPr>
        <b/>
        <vertAlign val="subscript"/>
        <sz val="11"/>
        <color rgb="FF000000"/>
        <rFont val="Calibri"/>
        <family val="2"/>
        <charset val="238"/>
        <scheme val="minor"/>
      </rPr>
      <t>2</t>
    </r>
    <r>
      <rPr>
        <b/>
        <sz val="11"/>
        <color rgb="FF000000"/>
        <rFont val="Calibri"/>
        <family val="2"/>
        <charset val="238"/>
        <scheme val="minor"/>
      </rPr>
      <t>] w 2014 roku</t>
    </r>
  </si>
  <si>
    <r>
      <t>Emisja CO2 [Mg CO</t>
    </r>
    <r>
      <rPr>
        <b/>
        <vertAlign val="sub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] w 2014 roku</t>
    </r>
  </si>
  <si>
    <t>L. pojazdów w roku 2014</t>
  </si>
  <si>
    <t>Dobowa liczba pojazdów w roku 2005</t>
  </si>
  <si>
    <t>DK 60</t>
  </si>
  <si>
    <t>DK 50</t>
  </si>
  <si>
    <t>L. pojazdów w roku 2005</t>
  </si>
  <si>
    <r>
      <t>Emisja CO2 [Mg CO</t>
    </r>
    <r>
      <rPr>
        <b/>
        <vertAlign val="subscript"/>
        <sz val="11"/>
        <color rgb="FF000000"/>
        <rFont val="Calibri"/>
        <family val="2"/>
        <charset val="238"/>
        <scheme val="minor"/>
      </rPr>
      <t>2</t>
    </r>
    <r>
      <rPr>
        <b/>
        <sz val="11"/>
        <color rgb="FF000000"/>
        <rFont val="Calibri"/>
        <family val="2"/>
        <charset val="238"/>
        <scheme val="minor"/>
      </rPr>
      <t>] w 2005 roku</t>
    </r>
  </si>
  <si>
    <r>
      <t>Emisja CO2 [Mg CO</t>
    </r>
    <r>
      <rPr>
        <b/>
        <vertAlign val="sub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] w 2005 roku</t>
    </r>
  </si>
  <si>
    <t>ciepło sieciowe</t>
  </si>
  <si>
    <t>Miejskie Przedszkole nr 10 im. Jana Korczaka, ul. Bat. Chłopskich 4, Ciechanów</t>
  </si>
  <si>
    <t>Ubojnia Drobiu wraz z Zakładem Przetwórstwa Mięsnego, ul. Płocka 5, Ciechanów</t>
  </si>
  <si>
    <t>Delitissue Sp. z o.o. ul. Mleczarska 31, Ciechanów</t>
  </si>
  <si>
    <t>Rozważany montaż OZE</t>
  </si>
  <si>
    <t>kolektory słoneczne, fotowoltaika</t>
  </si>
  <si>
    <t>Interhome Company, ul. Mazowiecka 6, Ciechanów</t>
  </si>
  <si>
    <t>DW 615</t>
  </si>
  <si>
    <t>DW 616</t>
  </si>
  <si>
    <t>DW 617</t>
  </si>
  <si>
    <t>Liczba lokali</t>
  </si>
  <si>
    <t>Sposób ogrzewania</t>
  </si>
  <si>
    <t>Planowane działania związane z termomodernizacją</t>
  </si>
  <si>
    <t>Plany związane z instalacją OZE</t>
  </si>
  <si>
    <t>nie planuje</t>
  </si>
  <si>
    <t>Wspólnota Mieszkaniowa ul. Wyzwolenia 3, Ciechanów</t>
  </si>
  <si>
    <t>Wspólnota Mieszkaniowa ul. 11 Pułku Ułanów Legionowych 9, Ciechanów</t>
  </si>
  <si>
    <t>Wspólnota Mieszkaniowa przy ul. Małgorzackiej 1, Ciechanów</t>
  </si>
  <si>
    <t>6 lokali - gaz, 1 lokal - ciepło sieciowe, 1 lokal - węgiel</t>
  </si>
  <si>
    <t>tak (ocieplenie budynku)</t>
  </si>
  <si>
    <t>Wspólnota Mieszkaniowa przy ul. Kilińskiego 7, Ciechanów</t>
  </si>
  <si>
    <t>tak (modernizacja instalacji gazowej)</t>
  </si>
  <si>
    <t>Spółdzielnia Mieszkaniowa Lokatorsko - Własnościowa "Zamek" ul. Moniuszki 18 A, Ciechanów</t>
  </si>
  <si>
    <t>tak (docieplenie ścian)</t>
  </si>
  <si>
    <t>Spółdzielnia Mieszkaniowo - Budowlana "Ziemowit" ul. Sikorskiego 4a, Ciechanów</t>
  </si>
  <si>
    <t xml:space="preserve">nie planuje </t>
  </si>
  <si>
    <t>Spółdzielnia Mieszkaniowa Własnościowa "Łydynia" ul. Osada Fabryczna 5, Ciechanów</t>
  </si>
  <si>
    <t>tak (docieplenie elewacji budynku przy ul. Powstańców Wielkopolskich 11, docieplenie elewacji budynku przy ul. Wyzwolenia 19)</t>
  </si>
  <si>
    <t>Towarzystwo Budownictwa Społecznego Sp. z o.o. ul. Okrzei 14, Ciechanów</t>
  </si>
  <si>
    <t>Gimnazjum nr 3 im. Marii Konopnickiej, ul. 17 Stycznia 17, Ciechanów</t>
  </si>
  <si>
    <t>System ciepłowniczy - charakterystyka odbiorców</t>
  </si>
  <si>
    <t>Użyteczność publiczna</t>
  </si>
  <si>
    <t>Miejskie Przedszkole nr 8, ul. Graniczna 41, 06-400 Ciechanów</t>
  </si>
  <si>
    <t>w handlu i usługach [GJ]</t>
  </si>
  <si>
    <r>
      <t>zużycie gazu [m</t>
    </r>
    <r>
      <rPr>
        <b/>
        <vertAlign val="superscript"/>
        <sz val="11"/>
        <rFont val="Calibri"/>
        <family val="2"/>
        <charset val="238"/>
      </rPr>
      <t>3</t>
    </r>
    <r>
      <rPr>
        <b/>
        <sz val="11"/>
        <rFont val="Calibri"/>
        <family val="2"/>
        <charset val="238"/>
      </rPr>
      <t>]</t>
    </r>
  </si>
  <si>
    <t>Bilans - tabele i wykresy</t>
  </si>
  <si>
    <r>
      <t>Zużycie energii elektrycznej oraz emisja 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w roku 2005, 2014 wraz z prognozą na rok 2020</t>
    </r>
  </si>
  <si>
    <r>
      <t>Wykresy obrazujące zużycie energii elektrycznej oraz emisję 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 roku 2005, 2014 wraz z prognozą na rok 2020</t>
    </r>
  </si>
  <si>
    <r>
      <t>Zużycie gazu oraz emisja 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w roku 2005, 2014 wraz z prognozą na rok 2020</t>
    </r>
  </si>
  <si>
    <r>
      <t>Wykresy obrazujące zużycie gazu oraz emisję 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w roku 2005, 2014 wraz z prognozą na rok 2020</t>
    </r>
  </si>
  <si>
    <r>
      <t>Emisja 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generowana przez ruch lokalny na terenie gminy w roku 2005, 2014 wraz z prognozą na rok 2020</t>
    </r>
  </si>
  <si>
    <r>
      <t>Natężenie ruchu oraz Emisja 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na drogach tranzytowych przebiegających przez teren miasta w roku 2005, 2014  wraz z prognozą na rok 2020</t>
    </r>
  </si>
  <si>
    <r>
      <t>Zużycie paliw opałowych oraz ciepła sieciowego oraz emisja 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w roku 2005, 2014 i prognoza na rok 2020 </t>
    </r>
  </si>
  <si>
    <r>
      <t>Łączne zestawienie emisji 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z podziałem na nośniki energii oraz sektory w roku 2005, 2014 wraz z prognozą na rok 2020 i obliczniem statystycznej emisji na 1 mieszkańca miasta</t>
    </r>
  </si>
  <si>
    <t>Numer drogi</t>
  </si>
  <si>
    <r>
      <t>Emisja CO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[Mg CO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]</t>
    </r>
  </si>
  <si>
    <t>Szkoła Podstawowa nr 6 im. Tadeusza Kościuszki w Ciechanowie</t>
  </si>
  <si>
    <t>Szkoła Podstawowa nr 4 ul. Płońska 143, Ciechanów</t>
  </si>
  <si>
    <t>Budynki użyteczności publicznej będące 
w zarządzie Miejskiego Ośrodka Sportu 
i Rekreacji</t>
  </si>
  <si>
    <t>ciepło sieciowe/gaz</t>
  </si>
  <si>
    <t>0,094/0,055</t>
  </si>
  <si>
    <t>Budynki użyteczności publicznej  bedace w zrządzie Urzędu Miasta Ciechanów:ul. Wodna 1, Plac Jana Pawła II 6, Plac Jana Pawła II 7, ul. Powstańców Wielkopolskich 1A</t>
  </si>
  <si>
    <t>Budynki mieszkalne</t>
  </si>
  <si>
    <t>w budynkach mieszkalnych [GJ]</t>
  </si>
  <si>
    <t xml:space="preserve">Przemysł </t>
  </si>
  <si>
    <t>Obiekty publiczne - rok 2014</t>
  </si>
  <si>
    <t>Wspólnoty i spółdzielnie mieszkaniowe - rok 2014</t>
  </si>
  <si>
    <t>Oświetlenie uliczne</t>
  </si>
  <si>
    <t>zużycie gazu [MWh]</t>
  </si>
  <si>
    <t>Potrzeby cieplne zaspokajane z danego rodzaju paliwa [MWh]</t>
  </si>
  <si>
    <t>Zużycie ciepła [MWh]</t>
  </si>
  <si>
    <t>Zużycie energii finalnej z podziałem na sektory [MWh]</t>
  </si>
  <si>
    <t>Zużycie energii finalnej z podziałem na paliwa [MWh]</t>
  </si>
  <si>
    <t>Przedsiębiorcy - rok 2014*</t>
  </si>
  <si>
    <t xml:space="preserve">* Ankiety wypełniane przez przedsiębiorców były dobrowolne, dlatego nie odwzierciedlają pełnych danych (pełne dane znajdują się kolejno z zakładce energia elektryczna, gaz i ciepło). Sumaryczne dane znajdują się w zakładce bilans </t>
  </si>
  <si>
    <t>DOM POMOCY SPOŁECZNEJ W CIECHANOWIE</t>
  </si>
  <si>
    <t>CIECHANÓW, KRUCZA 32 , 06-400 CIECHANÓW</t>
  </si>
  <si>
    <t>mln m3</t>
  </si>
  <si>
    <t>Mg</t>
  </si>
  <si>
    <t>PRODUKCYJNO-HANDLOWA SPÓŁDZIELNIA SAMOPOMOCY W CIECHANOWIE</t>
  </si>
  <si>
    <t>CIECHANÓW, ŚMIECIŃSKA 9 , 06-400 Ciechanów</t>
  </si>
  <si>
    <t>PRZEDSIĘBIORSTWO KOMUNIKACJI SAMOCHODOWEJ W CIECHANOWIE S.A.</t>
  </si>
  <si>
    <t>CIECHANÓW, PŁOCKA 13 , 06-400 CIECHANÓW</t>
  </si>
  <si>
    <t>CIECHANOWSKA SPÓŁDZIELNIA MLECZARSKA</t>
  </si>
  <si>
    <t>CIECHANÓW, MLECZARSKA 16A 16A, 06-400 CIECHANÓW</t>
  </si>
  <si>
    <t>SPOŁEM POWSZECHNA SPÓŁDZIELNIA SPOŻYWCÓW</t>
  </si>
  <si>
    <t>CIECHANÓW, WARSZAWSKA 1/3 , 06-400 CIECHANÓW</t>
  </si>
  <si>
    <t>BUDMAT AUTO 2 SP. Z O.O.</t>
  </si>
  <si>
    <t>CIECHANÓW, SOŃSKA 2 , 06-400 CIECHANÓW</t>
  </si>
  <si>
    <t>FARBEX SP. Z O. O. SPÓŁKA KOMANDYTOWA (poprz. FARBEX K.TARKOWSKI I WSPÓLNICY SP.J.)</t>
  </si>
  <si>
    <t>CIECHANÓW, PUŁTUSKA 63 , 06-400 CIECHANÓW</t>
  </si>
  <si>
    <t>DRUK-SERWIS SPÓŁKA Z OGRANICZONĄ ODPOWIEDZIALNOŚCIĄ</t>
  </si>
  <si>
    <t>Ciechanów, ul. Tysiąclecia 8B, 06-400 Ciechanów</t>
  </si>
  <si>
    <t>MGR FARM SP.  Z O.O. SP.K.</t>
  </si>
  <si>
    <t>CIECHANÓW, BRONIEWSKIEGO 16 18A, 06-400 CIECHANÓW</t>
  </si>
  <si>
    <t>MARSZEL SP.J. RYSZARD MARCINKOWSKI EUGENIUSZ SZERSZEŃ</t>
  </si>
  <si>
    <t>CIECHANÓW, PUŁTUSKA 65 , 06-400 CIECHANÓW</t>
  </si>
  <si>
    <t>ZAKŁAD KOMUNIKACJI MIEJSKIEJ W CIECHANOWIE SP. Z O.O.</t>
  </si>
  <si>
    <t>CIECHANÓW, GOSTKOWSKA 83 , 06-400 CIECHANÓW</t>
  </si>
  <si>
    <t>ZAKŁAD USŁUGOWO-HANDLOWY AUTO-ZŁOM GRZEGORZ KIERZKOWSKI</t>
  </si>
  <si>
    <t>CIECHANÓW, TOPOLOWA 9 , 06-400 CIECHANÓW</t>
  </si>
  <si>
    <t>ZAKŁAD WIELOBRANŻOWY USŁUGOWO-HANDLOWY DELTA KRZYSZTOF DOMAGAŁA</t>
  </si>
  <si>
    <t>CIECHANÓW, MŁAWSKA 5 , 06-400 CIECHANÓW</t>
  </si>
  <si>
    <t>STACJA PALIW GLINKA SP.J.</t>
  </si>
  <si>
    <t>CIECHANÓW, GRUDUSKA 94 , 06-400 CIECHANÓW</t>
  </si>
  <si>
    <t>ZAKŁAD BUDOWLANY DELTA KUNICKI JACEK, ŻERAŃSKI ANTONI, URBANIAK BOGUSŁAW SP.J.</t>
  </si>
  <si>
    <t>CIECHANÓW, NIECHODZKA 11, 06-400 CIECHANÓW</t>
  </si>
  <si>
    <t>INTERHOME COMPANY LTD</t>
  </si>
  <si>
    <t>CIECHANÓW, MAZOWIECKA 6 , 06-400 CIECHANÓW</t>
  </si>
  <si>
    <t>NADLEŚNICTWO CIECHANÓW</t>
  </si>
  <si>
    <t>CIECHANÓW, PŁOCKA 21 C , 06-400 CIECHANÓW</t>
  </si>
  <si>
    <t>MARPOL SP.J. R.W. MARCINKOWSCY</t>
  </si>
  <si>
    <t>CIECHANÓW, MŁAWSKA 9 , 06-400 CIECHANÓW</t>
  </si>
  <si>
    <t>BLACHARSTWO- LAKIERNICTWO POJAZDOWE WALENTY GRUNTMEJER</t>
  </si>
  <si>
    <t>CIECHANÓW, WESOŁA 3A , 06-400 CIECHANÓW</t>
  </si>
  <si>
    <t>Witold Piętka Z.U.H. KOPTRANS</t>
  </si>
  <si>
    <t>CIECHANÓW, ul. Mazowiecka 9A, 06-400 CIECHANÓW</t>
  </si>
  <si>
    <t>Krzysztof Mieszkowski KM ŻURAW</t>
  </si>
  <si>
    <t>Ciechanów, ul. Towarowa 2, 06-400 Ciechanów</t>
  </si>
  <si>
    <t>MECHANIKA-ELEKTROMECHANIKA POJAZDOWA JANUSZ RZECZKOWSKI</t>
  </si>
  <si>
    <t>CIECHANÓW, SOŃSKA 5 , 06-400 CIECHANÓW</t>
  </si>
  <si>
    <t>PRZEDSIĘBIORSTWO ENERGETYKI CIEPLNEJ SP. Z O.O. W CIECHANOWIE</t>
  </si>
  <si>
    <t>CIECHANÓW, TYSIĄCLECIA 18 , 06-400 CIECHANÓW</t>
  </si>
  <si>
    <t>ZAKŁAD PRODUKCYJNO-USŁUGOWY FASTE S.C. T. FALĘCKI, S. SALAMON</t>
  </si>
  <si>
    <t>CIECHANÓW, TOWAROWA 2 , 06-400 CIECHANÓW</t>
  </si>
  <si>
    <t>ZAKŁAD WODOCIĄGÓW I KANALIZACJI W CIECHANOWIE SP. Z O.O.</t>
  </si>
  <si>
    <t>CIECHANÓW, GOSTKOWSKA 81 , 06-400 CIECHANÓW</t>
  </si>
  <si>
    <t>FIRMA WTÓRNIX ANDRZEJ SZYMANKIEWICZ</t>
  </si>
  <si>
    <t>CIECHANÓW, SOŃSKA 18 , 06-400 CIECHANÓW</t>
  </si>
  <si>
    <t>DOMET J.CHMIELEWSKA-BURAK, PIOTR BURAK</t>
  </si>
  <si>
    <t>Ciechanów, Mleczarska 9A, 06-400 CIECHANÓW</t>
  </si>
  <si>
    <t>DRUKARZ LESZEK PRZYBYSZEWSKI SP.J.</t>
  </si>
  <si>
    <t>TWORMET S.C. KURZYNKA MAREK,MASŁOWSKI RYSZARD</t>
  </si>
  <si>
    <t>CIECHANÓW, UL.   ŚMIECIŃSKA 11, 06-400 CIECHANÓW</t>
  </si>
  <si>
    <t>PAL-GAZ MGR INŻ. WŁODZIMIERZ MOCHOCKI</t>
  </si>
  <si>
    <t>CIECHANÓW, MLECZARSKA 5 , 06-400 CIECHANÓW</t>
  </si>
  <si>
    <t>ERGO- DOMET SŁAWOMIR KUCHARSKI</t>
  </si>
  <si>
    <t>CIECHANÓW, ŚCIEGIENNEGO 4 , 06-400 CIECHANÓW</t>
  </si>
  <si>
    <t>CENTRUM HANDLOWE PANORAMA MAŁGORZATA GRZYBOWSKA</t>
  </si>
  <si>
    <t>CIECHANÓW, POWSTAŃCÓW WIELKOPOLSKICH 2 A , 06-400 CIECHANÓW</t>
  </si>
  <si>
    <t>Lody Marsjano Jacek Pietrzak</t>
  </si>
  <si>
    <t>Ciechanów, ul. Zielona Ścieżka 2A, 06-400 Ciechanów</t>
  </si>
  <si>
    <t>UNIWEX PRZEDSIĘBIORSTWO HANDLOWE</t>
  </si>
  <si>
    <t>CIECHANÓW, PŁOŃSKA 111 , 06-400 CIECHANÓW</t>
  </si>
  <si>
    <t>PTHW SP. Z O.O. MAREK CICHOWSKI</t>
  </si>
  <si>
    <t>Ciechanów, ul. Tysiąclecia 4, 06-400 Ciechanów</t>
  </si>
  <si>
    <t>FABRYKA MASZYN LUKA SP. Z O.O.</t>
  </si>
  <si>
    <t>CIECHANÓW, MAZOWIECKA 12 , 06-400 CIECHANÓW</t>
  </si>
  <si>
    <t>WOJEWÓDZKI OŚRODEK RUCHU DROGOWEGO W CIECHANOWIE</t>
  </si>
  <si>
    <t>CIECHANÓW, MLECZARSKA 27 , 06-400 CIECHANÓW</t>
  </si>
  <si>
    <t>PPHU MEBEL-MAX IWONA LEWANDOWSKA</t>
  </si>
  <si>
    <t>CIECHANÓW, REUTTA 10 , 06-400 CIECHANÓW</t>
  </si>
  <si>
    <t>URZĄD MIASTA W CIECHANOWIE</t>
  </si>
  <si>
    <t>CIECHANÓW, PL. JANA PAWŁA II 6 , 06-400 CIECHANÓW</t>
  </si>
  <si>
    <t>POWIATOWY ZARZĄD DRÓG W CIECHANOWIE</t>
  </si>
  <si>
    <t>CIECHANÓW, MAZOWIECKA 7 , 06-400 CIECHANÓW</t>
  </si>
  <si>
    <t>CHROMAVIS SERVICE SP. Z O.O.</t>
  </si>
  <si>
    <t>CIECHANÓW, SKŁADOWA 2 , 06-400 CIECHANÓW</t>
  </si>
  <si>
    <t>PHU NICOLA S.C.  NIEWIADOMSKA OLGA NIEWIADOMSKA BARBARA</t>
  </si>
  <si>
    <t>CIECHANÓW, ŚLĄSKA 11 , 06-400 CIECHANÓW</t>
  </si>
  <si>
    <t>PUHP VALTER WALDEMAR RYKACZEWSKI</t>
  </si>
  <si>
    <t>CIECHANÓW, KĄCKA 6 , 06-400 CIECHANÓW</t>
  </si>
  <si>
    <t>MŁODA PARA AGNIESZKA SZACHEWICZ</t>
  </si>
  <si>
    <t>CIECHANÓW, UL. ŚMIECIŃSKA 14 , 06-400 CIECHANÓW</t>
  </si>
  <si>
    <t>ZAKŁAD POLIGRAFICZNY GRAF-DRUK ZBIGNIEW MILEWSKI</t>
  </si>
  <si>
    <t>CIECHANÓW, GOSTKOWSKA 39L 39L, 06-400 CIECHANÓW</t>
  </si>
  <si>
    <t>FHU IWONA WÓJCIK</t>
  </si>
  <si>
    <t>CIECHANÓW, PŁOŃSKA 134B , 06-400 CIECHANÓW</t>
  </si>
  <si>
    <t>PAŃSTWOWA WYŻSZA SZKOŁA ZAWODOWA W CIECHANOWIE</t>
  </si>
  <si>
    <t>CIECHANÓW, NARUTOWICZA 9 , 06-400 CIECHANÓW</t>
  </si>
  <si>
    <t>PPHU CHEMAL KOTOWSKA LIDIA  BEATA</t>
  </si>
  <si>
    <t>CIECHANÓW, ŚMIECIŃSKA 13 , 06-400 CIECHANÓW</t>
  </si>
  <si>
    <t>APTEKA ARNICA OLSZEWSKI ADAM</t>
  </si>
  <si>
    <t>CIECHANÓW, BRONIEWSKIEGO 16 , 06-400 CIECHANÓW</t>
  </si>
  <si>
    <t>JAWAR SP. Z O.O.</t>
  </si>
  <si>
    <t>CIECHANÓW, SOŃSKA 89 , 06-400 CIECHANÓW</t>
  </si>
  <si>
    <t>APTEKA ZACHODNIA MGR FARM. GRAŻYNA  LIPIŃSKA</t>
  </si>
  <si>
    <t>Ciechanów, MAKSYMILIANA MARII KOLBE 35 , 06-400 CIECHANÓW</t>
  </si>
  <si>
    <t>EUROINSTAL PLUS SP. Z O.O.</t>
  </si>
  <si>
    <t>CIECHANÓW, PŁOŃSKA 40 , 06-400 CIECHANÓW</t>
  </si>
  <si>
    <t>BIURO RACHUNKOWO-USŁUGOWE BILANS DANUTA PSZCZÓŁKOWSKA</t>
  </si>
  <si>
    <t>CIECHANÓW, PŁOŃSKA 163 , 06-400 CIECHANÓW</t>
  </si>
  <si>
    <t>Z.U.H. "SEBUD" SEBASTIAN PIĘTKA</t>
  </si>
  <si>
    <t>CIECHANÓW, UL. JANA REUTTA 16 B , 06-400 CIECHANÓW</t>
  </si>
  <si>
    <t>P.P.H.U. DMOCHOWSCY PAWEŁ DMOCHOWSKI</t>
  </si>
  <si>
    <t>CIECHANÓW, RYCERSKA 64 64, 06-400 CIECHANÓW</t>
  </si>
  <si>
    <t>PRZEDSIĘBIORSTWO PRODUKCYJNO USŁUGOWE WEMAX SŁAWOMIR WERNICKI</t>
  </si>
  <si>
    <t>CIECHANÓW, ŚMIECIŃSKA 9D , 06-400 CIECHANÓW</t>
  </si>
  <si>
    <t>PPUH ABC KOMINKA AGNIESZKA WARDA</t>
  </si>
  <si>
    <t>CIECHANÓW, MAZOWIECKA 10 , 06-400 CIECHANÓW</t>
  </si>
  <si>
    <t>HIT ELECTRONICS POLAND SP. Z O.O.</t>
  </si>
  <si>
    <t>CIECHANÓW, ŚMIECIŃSKA 14 , 06-400 CIECHANÓW</t>
  </si>
  <si>
    <t>LEADY OŚRODEK SZKOLENIA KIEROWCÓW MARZENA OGONOWSKA</t>
  </si>
  <si>
    <t>CIECHANÓW, GĄSECKA 3 , 06-400 CIECHANÓW</t>
  </si>
  <si>
    <t>SKLEP SPOŻYWCZO-PRZEMYSŁOWY RYSIO AGNIESZKA BERK</t>
  </si>
  <si>
    <t>CIECHANÓW, PŁOCKA 24/6 , 06-400 CIECHANÓW</t>
  </si>
  <si>
    <t>SZWAGRO S.C. SZUBERT MARIUSZ, WOJCIECH GAŁĄZKA</t>
  </si>
  <si>
    <t>CIECHANÓW, NIECHODZKA 40 , 06-400 CIECHANÓW</t>
  </si>
  <si>
    <t>Hotel Atena Aneta Młyńska-Oleksak</t>
  </si>
  <si>
    <t>Ciechanów, ul. Maksymiliana Marii Kolbe 76, 06-400 Ciechanów</t>
  </si>
  <si>
    <t>GOR-TRANS PAWEŁ GORYSZEWSKI</t>
  </si>
  <si>
    <t>CIECHANÓW, BARTOSZA GŁOWACKIEGO 14/16 , 06-400 CIECHANÓW</t>
  </si>
  <si>
    <t>PIEKARNIA J.G. DMOCHOWSCY JAN I GRAŻYNA DMOCHOWSCY S.C.</t>
  </si>
  <si>
    <t>CIECHANÓW, RYCERSKA 64 , 06-400 CIECHANÓW</t>
  </si>
  <si>
    <t>SEB-MAG SP. Z O.O.</t>
  </si>
  <si>
    <t>CIECHANÓW, MŁAWSKA 7A , 06-400 CIECHANÓW</t>
  </si>
  <si>
    <t>UNILEX OIL SP. Z O.O. SP.K.</t>
  </si>
  <si>
    <t>CIECHANÓW, ŚMIECIŃSKA 16 , 06-400 CIECHANÓW</t>
  </si>
  <si>
    <t>ILAS POLONIA S.A. ZAKŁAD PRODUKCYJNY W CIECHANOWIE</t>
  </si>
  <si>
    <t>CIECHANÓW, MLECZARSKA 4 , 06-400 CIECHANÓW</t>
  </si>
  <si>
    <t>STOMIL SANOK - DYSTRYBUCJA SP. Z O.O.</t>
  </si>
  <si>
    <t>BOGUCIN, GNIEŹNIEŃSKA 99 , 62-006 BOGUCIN</t>
  </si>
  <si>
    <t>olej</t>
  </si>
  <si>
    <t>węgiel</t>
  </si>
  <si>
    <t>drewno</t>
  </si>
  <si>
    <t>Lp.</t>
  </si>
  <si>
    <t>Nazwa obiektu</t>
  </si>
  <si>
    <t>Adres</t>
  </si>
  <si>
    <t>Zużycie energii cieplnej</t>
  </si>
  <si>
    <t>Zużycie energii [GJ/rok]</t>
  </si>
  <si>
    <t>Zużycie energii [MWh/rok]</t>
  </si>
  <si>
    <t>Przelicznik jednostek - paliwa gazowe</t>
  </si>
  <si>
    <t>1 m3</t>
  </si>
  <si>
    <t>GJ</t>
  </si>
  <si>
    <t>kg</t>
  </si>
  <si>
    <t>1 GJ</t>
  </si>
  <si>
    <t>MWh</t>
  </si>
  <si>
    <t>1 MWh</t>
  </si>
  <si>
    <t>Przelicznik jednostek - węgiel</t>
  </si>
  <si>
    <t>1 Mg</t>
  </si>
  <si>
    <t>Przelicznik jednostek - olej</t>
  </si>
  <si>
    <t>Przelicznik jednostek - drewno</t>
  </si>
  <si>
    <t>L.p.</t>
  </si>
  <si>
    <t>Rok bazowy 2014</t>
  </si>
  <si>
    <t>Miejskie Przedszkole nr 10 im. Jana Korczaka, ul. Bat. Chłopskich 4, Ciechanów w 2015 r. dobudowano 225 m2 żłobka miejskiego.</t>
  </si>
  <si>
    <t>Gimnazjum nr 3 im. Marii Konopnickiej, ul. 17 Stycznia 17, Ciechanów Obecnie Szkoła Podstawowa nr 6 im. Tadeusza Kościuszki ul. 17 Stycznia 17, Ciechanów</t>
  </si>
  <si>
    <t>Szkoła Podstawowa nr 6 im. Tadeusza Kościuszki w Ciechanowie, ul. Wiklinowa 4</t>
  </si>
  <si>
    <t>Budynki użyteczności publicznej będące w zarządzie Miejskiego Ośrodka Sportu i Rekreacji</t>
  </si>
  <si>
    <t>Budynki użyteczności publicznej bedace w zrządzie Urzędu Miasta Ciechanów:ul. Wodna 1, Plac Jana Pawła II 6, Plac Jana Pawła II 7, ul. Powstańców Wielkopolskich 1A</t>
  </si>
  <si>
    <t>1425, zwiększenie powierzchni w 2016 r. 1650</t>
  </si>
  <si>
    <t>6365,38 zwiększenie powierzchni w 2017 r. 6415,50</t>
  </si>
  <si>
    <t>rok 2017 - rok kontrolny</t>
  </si>
  <si>
    <t>rok kontrolny 2017</t>
  </si>
  <si>
    <r>
      <t>zużycie gazu [m</t>
    </r>
    <r>
      <rPr>
        <b/>
        <vertAlign val="superscript"/>
        <sz val="11"/>
        <color theme="5" tint="-0.499984740745262"/>
        <rFont val="Calibri"/>
        <family val="2"/>
        <charset val="238"/>
      </rPr>
      <t>3</t>
    </r>
    <r>
      <rPr>
        <b/>
        <sz val="11"/>
        <color theme="5" tint="-0.499984740745262"/>
        <rFont val="Calibri"/>
        <family val="2"/>
        <charset val="238"/>
      </rPr>
      <t>]</t>
    </r>
  </si>
  <si>
    <r>
      <t>wskaźnik emisji [Mg CO</t>
    </r>
    <r>
      <rPr>
        <b/>
        <vertAlign val="subscript"/>
        <sz val="11"/>
        <color theme="5" tint="-0.499984740745262"/>
        <rFont val="Calibri"/>
        <family val="2"/>
        <charset val="238"/>
        <scheme val="minor"/>
      </rPr>
      <t>2</t>
    </r>
    <r>
      <rPr>
        <b/>
        <sz val="11"/>
        <color theme="5" tint="-0.499984740745262"/>
        <rFont val="Calibri"/>
        <family val="2"/>
        <charset val="238"/>
        <scheme val="minor"/>
      </rPr>
      <t>/MWh]</t>
    </r>
  </si>
  <si>
    <r>
      <t>Emisja [Mg CO</t>
    </r>
    <r>
      <rPr>
        <b/>
        <vertAlign val="subscript"/>
        <sz val="11"/>
        <color theme="5" tint="-0.499984740745262"/>
        <rFont val="Calibri"/>
        <family val="2"/>
        <charset val="238"/>
        <scheme val="minor"/>
      </rPr>
      <t>2</t>
    </r>
    <r>
      <rPr>
        <b/>
        <sz val="11"/>
        <color theme="5" tint="-0.499984740745262"/>
        <rFont val="Calibri"/>
        <family val="2"/>
        <charset val="238"/>
        <scheme val="minor"/>
      </rPr>
      <t>]</t>
    </r>
  </si>
  <si>
    <t xml:space="preserve">Emisja z ruchu lokalnego rok kontrolny - 2017 </t>
  </si>
  <si>
    <r>
      <t>wskaźnik emisji [kg CO</t>
    </r>
    <r>
      <rPr>
        <b/>
        <vertAlign val="subscript"/>
        <sz val="11"/>
        <color theme="5" tint="-0.499984740745262"/>
        <rFont val="Calibri"/>
        <family val="2"/>
        <charset val="238"/>
        <scheme val="minor"/>
      </rPr>
      <t>2</t>
    </r>
    <r>
      <rPr>
        <b/>
        <sz val="11"/>
        <color theme="5" tint="-0.499984740745262"/>
        <rFont val="Calibri"/>
        <family val="2"/>
        <charset val="238"/>
        <scheme val="minor"/>
      </rPr>
      <t>/GJ]</t>
    </r>
  </si>
  <si>
    <t>Rok kontrolny 2017</t>
  </si>
  <si>
    <r>
      <t>wskaźnik emisji [MG CO</t>
    </r>
    <r>
      <rPr>
        <b/>
        <vertAlign val="subscript"/>
        <sz val="11"/>
        <color theme="5" tint="-0.499984740745262"/>
        <rFont val="Calibri"/>
        <family val="2"/>
        <charset val="238"/>
        <scheme val="minor"/>
      </rPr>
      <t>2</t>
    </r>
    <r>
      <rPr>
        <b/>
        <sz val="11"/>
        <color theme="5" tint="-0.499984740745262"/>
        <rFont val="Calibri"/>
        <family val="2"/>
        <charset val="238"/>
        <scheme val="minor"/>
      </rPr>
      <t>/GJ]</t>
    </r>
  </si>
  <si>
    <t>Ogólne zapotrzebowanie na energię w roku kontrolnym 2017 r. [GJ]</t>
  </si>
  <si>
    <t>Ogólne zapotrzebowanie na energię w roku bazowym 2014 r. [GJ]</t>
  </si>
  <si>
    <t>Trend zmian</t>
  </si>
  <si>
    <t>spadek</t>
  </si>
  <si>
    <t>wzrost</t>
  </si>
  <si>
    <t xml:space="preserve">System oświetlenia ulicznego </t>
  </si>
  <si>
    <t>Rok 2015</t>
  </si>
  <si>
    <t>Rok 2016</t>
  </si>
  <si>
    <r>
      <t>wskaźnik emisji [MG CO</t>
    </r>
    <r>
      <rPr>
        <b/>
        <vertAlign val="subscript"/>
        <sz val="11"/>
        <color theme="1"/>
        <rFont val="Calibri Light"/>
        <family val="2"/>
        <charset val="238"/>
      </rPr>
      <t>2</t>
    </r>
    <r>
      <rPr>
        <b/>
        <sz val="11"/>
        <color theme="1"/>
        <rFont val="Calibri Light"/>
        <family val="2"/>
        <charset val="238"/>
      </rPr>
      <t>/GJ]</t>
    </r>
  </si>
  <si>
    <r>
      <t>wskaźnik emisji [MG CO</t>
    </r>
    <r>
      <rPr>
        <b/>
        <vertAlign val="subscript"/>
        <sz val="11"/>
        <color theme="5" tint="-0.499984740745262"/>
        <rFont val="Calibri Light"/>
        <family val="2"/>
        <charset val="238"/>
      </rPr>
      <t>2</t>
    </r>
    <r>
      <rPr>
        <b/>
        <sz val="11"/>
        <color theme="5" tint="-0.499984740745262"/>
        <rFont val="Calibri Light"/>
        <family val="2"/>
        <charset val="238"/>
      </rPr>
      <t>/GJ]</t>
    </r>
  </si>
  <si>
    <r>
      <t>Emisja [Mg CO</t>
    </r>
    <r>
      <rPr>
        <b/>
        <vertAlign val="subscript"/>
        <sz val="11"/>
        <rFont val="Calibri Light"/>
        <family val="2"/>
        <charset val="238"/>
      </rPr>
      <t>2]</t>
    </r>
  </si>
  <si>
    <r>
      <t>Emisja [Mg CO</t>
    </r>
    <r>
      <rPr>
        <b/>
        <vertAlign val="subscript"/>
        <sz val="11"/>
        <color theme="5" tint="-0.499984740745262"/>
        <rFont val="Calibri Light"/>
        <family val="2"/>
        <charset val="238"/>
      </rPr>
      <t>2]</t>
    </r>
  </si>
  <si>
    <t>Zużycie energii cieplnej [GJ]</t>
  </si>
  <si>
    <t>Powierzchnia użytkowa [m]</t>
  </si>
  <si>
    <t>Emisja CO2 [Mg/CO2]</t>
  </si>
  <si>
    <t>WYKAZ PRZEDSIĘBIORSTW - ROK KONTROLNY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</si>
</sst>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&quot; &quot;#,##0.00&quot;    &quot;;&quot;-&quot;#,##0.00&quot;    &quot;;&quot; -&quot;00&quot;    &quot;;&quot; &quot;@&quot; &quot;"/>
    <numFmt numFmtId="166" formatCode="&quot; &quot;#,##0.000&quot;    &quot;;&quot;-&quot;#,##0.000&quot;    &quot;;&quot; -&quot;00.0&quot;    &quot;;&quot; &quot;@&quot; &quot;"/>
    <numFmt numFmtId="167" formatCode="&quot; &quot;#,##0.000&quot;    &quot;;&quot;-&quot;#,##0.000&quot;    &quot;;&quot; -&quot;00&quot;    &quot;;&quot; &quot;@&quot; &quot;"/>
    <numFmt numFmtId="168" formatCode="&quot; &quot;#,##0&quot;    &quot;;&quot;-&quot;#,##0&quot;    &quot;;&quot; -&quot;00&quot;    &quot;;&quot; &quot;@&quot; &quot;"/>
    <numFmt numFmtId="169" formatCode="0.000"/>
    <numFmt numFmtId="170" formatCode="0.000%"/>
    <numFmt numFmtId="171" formatCode="#,##0.0"/>
    <numFmt numFmtId="172" formatCode="_-* #,##0.000\ _z_ł_-;\-* #,##0.000\ _z_ł_-;_-* &quot;-&quot;??\ _z_ł_-;_-@_-"/>
    <numFmt numFmtId="173" formatCode="&quot; &quot;#,##0.00&quot;    &quot;;&quot;-&quot;#,##0.00&quot;    &quot;;&quot; -&quot;00.0&quot;    &quot;;&quot; &quot;@&quot; &quot;"/>
    <numFmt numFmtId="174" formatCode="0.000000000%"/>
    <numFmt numFmtId="175" formatCode="#,##0.00_ ;[Red]\-#,##0.00\ "/>
  </numFmts>
  <fonts count="10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indexed="9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zcionka tekstu podstawowego"/>
      <charset val="238"/>
    </font>
    <font>
      <sz val="11"/>
      <color rgb="FF000000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</font>
    <font>
      <b/>
      <sz val="14"/>
      <color rgb="FFFFFFFF"/>
      <name val="Calibri"/>
      <family val="2"/>
      <charset val="238"/>
      <scheme val="minor"/>
    </font>
    <font>
      <sz val="14"/>
      <color rgb="FFFFFFFF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vertAlign val="subscript"/>
      <sz val="11"/>
      <color indexed="8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vertAlign val="superscript"/>
      <sz val="11"/>
      <color indexed="8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bscript"/>
      <sz val="11"/>
      <color rgb="FF000000"/>
      <name val="Calibri"/>
      <family val="2"/>
      <charset val="238"/>
      <scheme val="minor"/>
    </font>
    <font>
      <b/>
      <vertAlign val="subscript"/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ajor"/>
    </font>
    <font>
      <sz val="9"/>
      <color rgb="FF000000"/>
      <name val="Calibri"/>
      <family val="2"/>
      <charset val="238"/>
      <scheme val="major"/>
    </font>
    <font>
      <b/>
      <sz val="9"/>
      <color theme="1"/>
      <name val="Calibri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vertAlign val="superscript"/>
      <sz val="8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vertAlign val="subscript"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vertAlign val="subscript"/>
      <sz val="8"/>
      <name val="Calibri"/>
      <family val="2"/>
      <charset val="238"/>
      <scheme val="minor"/>
    </font>
    <font>
      <b/>
      <vertAlign val="subscript"/>
      <sz val="8"/>
      <color indexed="8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ajor"/>
    </font>
    <font>
      <b/>
      <sz val="9"/>
      <color rgb="FF00000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zcionka tekstu podstawowego"/>
      <family val="2"/>
      <charset val="238"/>
    </font>
    <font>
      <b/>
      <vertAlign val="superscript"/>
      <sz val="11"/>
      <name val="Calibri"/>
      <family val="2"/>
      <charset val="238"/>
    </font>
    <font>
      <sz val="11"/>
      <color theme="1"/>
      <name val="Calibri Light"/>
      <family val="2"/>
      <charset val="238"/>
    </font>
    <font>
      <b/>
      <sz val="10"/>
      <color theme="1"/>
      <name val="Calibri"/>
      <family val="2"/>
      <charset val="238"/>
      <scheme val="major"/>
    </font>
    <font>
      <sz val="10"/>
      <color theme="1"/>
      <name val="Calibri"/>
      <family val="2"/>
      <charset val="238"/>
      <scheme val="major"/>
    </font>
    <font>
      <sz val="11"/>
      <color indexed="8"/>
      <name val="Calibri Light"/>
      <family val="2"/>
      <charset val="238"/>
    </font>
    <font>
      <sz val="11"/>
      <color theme="7"/>
      <name val="Calibri Light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ajor"/>
    </font>
    <font>
      <b/>
      <sz val="11"/>
      <color theme="7"/>
      <name val="Calibri"/>
      <family val="2"/>
      <charset val="238"/>
      <scheme val="minor"/>
    </font>
    <font>
      <b/>
      <sz val="11"/>
      <color theme="7"/>
      <name val="Calibri"/>
      <family val="2"/>
      <charset val="238"/>
    </font>
    <font>
      <sz val="11"/>
      <color theme="7"/>
      <name val="Calibri"/>
      <family val="2"/>
      <charset val="238"/>
    </font>
    <font>
      <sz val="11"/>
      <color theme="7"/>
      <name val="Calibri"/>
      <family val="2"/>
      <charset val="238"/>
      <scheme val="minor"/>
    </font>
    <font>
      <b/>
      <sz val="11"/>
      <color theme="5" tint="-0.499984740745262"/>
      <name val="Calibri"/>
      <family val="2"/>
      <charset val="238"/>
      <scheme val="minor"/>
    </font>
    <font>
      <b/>
      <sz val="11"/>
      <color theme="5" tint="-0.499984740745262"/>
      <name val="Calibri"/>
      <family val="2"/>
      <charset val="238"/>
    </font>
    <font>
      <sz val="11"/>
      <color theme="5" tint="-0.499984740745262"/>
      <name val="Calibri"/>
      <family val="2"/>
      <charset val="238"/>
    </font>
    <font>
      <sz val="11"/>
      <color theme="5" tint="-0.499984740745262"/>
      <name val="Czcionka tekstu podstawowego"/>
      <family val="2"/>
      <charset val="238"/>
    </font>
    <font>
      <b/>
      <vertAlign val="superscript"/>
      <sz val="11"/>
      <color theme="5" tint="-0.499984740745262"/>
      <name val="Calibri"/>
      <family val="2"/>
      <charset val="238"/>
    </font>
    <font>
      <sz val="11"/>
      <color theme="5" tint="-0.499984740745262"/>
      <name val="Calibri"/>
      <family val="2"/>
      <charset val="238"/>
      <scheme val="minor"/>
    </font>
    <font>
      <b/>
      <vertAlign val="subscript"/>
      <sz val="11"/>
      <color theme="5" tint="-0.499984740745262"/>
      <name val="Calibri"/>
      <family val="2"/>
      <charset val="238"/>
      <scheme val="minor"/>
    </font>
    <font>
      <b/>
      <sz val="14"/>
      <color theme="5" tint="-0.499984740745262"/>
      <name val="Calibri"/>
      <family val="2"/>
      <charset val="238"/>
      <scheme val="minor"/>
    </font>
    <font>
      <sz val="11"/>
      <color theme="5" tint="-0.499984740745262"/>
      <name val="Calibri Light"/>
      <family val="2"/>
      <charset val="238"/>
    </font>
    <font>
      <b/>
      <sz val="11"/>
      <color theme="5" tint="-0.499984740745262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b/>
      <sz val="14"/>
      <color theme="0"/>
      <name val="Calibri Light"/>
      <family val="2"/>
      <charset val="238"/>
    </font>
    <font>
      <b/>
      <vertAlign val="subscript"/>
      <sz val="11"/>
      <color theme="1"/>
      <name val="Calibri Light"/>
      <family val="2"/>
      <charset val="238"/>
    </font>
    <font>
      <sz val="11"/>
      <name val="Calibri Light"/>
      <family val="2"/>
      <charset val="238"/>
    </font>
    <font>
      <b/>
      <sz val="11"/>
      <name val="Calibri Light"/>
      <family val="2"/>
      <charset val="238"/>
    </font>
    <font>
      <sz val="11"/>
      <color rgb="FF000000"/>
      <name val="Calibri Light"/>
      <family val="2"/>
      <charset val="238"/>
    </font>
    <font>
      <b/>
      <sz val="11"/>
      <color rgb="FF000000"/>
      <name val="Calibri Light"/>
      <family val="2"/>
      <charset val="238"/>
    </font>
    <font>
      <b/>
      <vertAlign val="subscript"/>
      <sz val="11"/>
      <color theme="5" tint="-0.499984740745262"/>
      <name val="Calibri Light"/>
      <family val="2"/>
      <charset val="238"/>
    </font>
    <font>
      <b/>
      <sz val="11"/>
      <color theme="0"/>
      <name val="Calibri Light"/>
      <family val="2"/>
      <charset val="238"/>
    </font>
    <font>
      <b/>
      <vertAlign val="subscript"/>
      <sz val="11"/>
      <name val="Calibri Light"/>
      <family val="2"/>
      <charset val="238"/>
    </font>
    <font>
      <sz val="14"/>
      <color theme="7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23"/>
      </patternFill>
    </fill>
    <fill>
      <patternFill patternType="solid">
        <fgColor theme="0"/>
        <bgColor indexed="26"/>
      </patternFill>
    </fill>
    <fill>
      <patternFill patternType="solid">
        <fgColor theme="3" tint="0.39997558519241921"/>
        <bgColor indexed="31"/>
      </patternFill>
    </fill>
    <fill>
      <patternFill patternType="solid">
        <fgColor theme="3" tint="0.79998168889431442"/>
        <bgColor indexed="4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rgb="FF808080"/>
        <bgColor rgb="FF808080"/>
      </patternFill>
    </fill>
    <fill>
      <patternFill patternType="solid">
        <fgColor theme="0" tint="-0.249977111117893"/>
        <bgColor rgb="FFA6A6A6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rgb="FFA6A6A6"/>
        <bgColor rgb="FFA6A6A6"/>
      </patternFill>
    </fill>
    <fill>
      <patternFill patternType="solid">
        <fgColor theme="0" tint="-0.34998626667073579"/>
        <bgColor rgb="FFA6A6A6"/>
      </patternFill>
    </fill>
    <fill>
      <patternFill patternType="solid">
        <fgColor theme="0" tint="-0.34998626667073579"/>
        <bgColor rgb="FF808080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A6A6A6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rgb="FF808080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0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rgb="FFFFFFFF"/>
      </bottom>
      <diagonal/>
    </border>
    <border>
      <left style="medium">
        <color indexed="64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FFFFFF"/>
      </bottom>
      <diagonal/>
    </border>
    <border>
      <left/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medium">
        <color theme="0" tint="-0.499984740745262"/>
      </left>
      <right style="thin">
        <color auto="1"/>
      </right>
      <top style="medium">
        <color theme="0" tint="-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0" tint="-0.499984740745262"/>
      </top>
      <bottom style="thin">
        <color auto="1"/>
      </bottom>
      <diagonal/>
    </border>
    <border>
      <left style="thin">
        <color auto="1"/>
      </left>
      <right style="medium">
        <color theme="0" tint="-0.499984740745262"/>
      </right>
      <top style="medium">
        <color theme="0" tint="-0.499984740745262"/>
      </top>
      <bottom style="thin">
        <color auto="1"/>
      </bottom>
      <diagonal/>
    </border>
    <border>
      <left style="medium">
        <color theme="0" tint="-0.499984740745262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 tint="-0.499984740745262"/>
      </right>
      <top/>
      <bottom style="thin">
        <color theme="0"/>
      </bottom>
      <diagonal/>
    </border>
    <border>
      <left style="medium">
        <color theme="0" tint="-0.499984740745262"/>
      </left>
      <right style="thin">
        <color theme="0"/>
      </right>
      <top/>
      <bottom style="thin">
        <color theme="0"/>
      </bottom>
      <diagonal/>
    </border>
    <border>
      <left/>
      <right style="medium">
        <color theme="0" tint="-0.499984740745262"/>
      </right>
      <top style="thin">
        <color theme="0"/>
      </top>
      <bottom style="thin">
        <color theme="0"/>
      </bottom>
      <diagonal/>
    </border>
    <border>
      <left style="medium">
        <color theme="0" tint="-0.499984740745262"/>
      </left>
      <right style="thin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/>
      </top>
      <bottom style="medium">
        <color theme="0" tint="-0.499984740745262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FFFFFF"/>
      </top>
      <bottom/>
      <diagonal/>
    </border>
    <border>
      <left style="medium">
        <color indexed="64"/>
      </left>
      <right/>
      <top style="thin">
        <color rgb="FFFFFFFF"/>
      </top>
      <bottom/>
      <diagonal/>
    </border>
    <border>
      <left/>
      <right style="medium">
        <color indexed="64"/>
      </right>
      <top style="thin">
        <color rgb="FFFFFFFF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rgb="FFFFFFFF"/>
      </left>
      <right/>
      <top style="medium">
        <color indexed="64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8">
    <xf numFmtId="0" fontId="0" fillId="0" borderId="0"/>
    <xf numFmtId="0" fontId="17" fillId="0" borderId="0"/>
    <xf numFmtId="43" fontId="2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21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9" fontId="21" fillId="0" borderId="0" applyFont="0" applyFill="0" applyBorder="0" applyAlignment="0" applyProtection="0"/>
    <xf numFmtId="0" fontId="22" fillId="0" borderId="0"/>
    <xf numFmtId="44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137">
    <xf numFmtId="0" fontId="0" fillId="0" borderId="0" xfId="0"/>
    <xf numFmtId="0" fontId="16" fillId="5" borderId="3" xfId="0" applyFont="1" applyFill="1" applyBorder="1" applyAlignment="1">
      <alignment vertical="center"/>
    </xf>
    <xf numFmtId="0" fontId="16" fillId="5" borderId="5" xfId="0" applyFont="1" applyFill="1" applyBorder="1" applyAlignment="1">
      <alignment vertical="center"/>
    </xf>
    <xf numFmtId="0" fontId="18" fillId="6" borderId="6" xfId="1" applyNumberFormat="1" applyFont="1" applyFill="1" applyBorder="1" applyAlignment="1">
      <alignment horizontal="left" vertical="center" wrapText="1"/>
    </xf>
    <xf numFmtId="0" fontId="13" fillId="8" borderId="10" xfId="0" applyFont="1" applyFill="1" applyBorder="1" applyAlignment="1">
      <alignment vertical="center"/>
    </xf>
    <xf numFmtId="0" fontId="13" fillId="8" borderId="12" xfId="0" applyFont="1" applyFill="1" applyBorder="1" applyAlignment="1">
      <alignment vertical="center"/>
    </xf>
    <xf numFmtId="0" fontId="13" fillId="8" borderId="14" xfId="0" applyFont="1" applyFill="1" applyBorder="1" applyAlignment="1">
      <alignment vertical="center"/>
    </xf>
    <xf numFmtId="0" fontId="13" fillId="8" borderId="16" xfId="0" applyFont="1" applyFill="1" applyBorder="1" applyAlignment="1">
      <alignment vertical="center"/>
    </xf>
    <xf numFmtId="0" fontId="19" fillId="10" borderId="23" xfId="0" applyFont="1" applyFill="1" applyBorder="1" applyAlignment="1">
      <alignment vertical="center" wrapText="1"/>
    </xf>
    <xf numFmtId="0" fontId="19" fillId="10" borderId="24" xfId="0" applyFont="1" applyFill="1" applyBorder="1" applyAlignment="1">
      <alignment vertical="center" wrapText="1"/>
    </xf>
    <xf numFmtId="0" fontId="19" fillId="10" borderId="25" xfId="0" applyFont="1" applyFill="1" applyBorder="1" applyAlignment="1">
      <alignment vertical="center" wrapText="1"/>
    </xf>
    <xf numFmtId="0" fontId="26" fillId="2" borderId="0" xfId="0" applyFont="1" applyFill="1" applyBorder="1" applyAlignment="1">
      <alignment horizontal="center" vertical="center"/>
    </xf>
    <xf numFmtId="2" fontId="13" fillId="2" borderId="0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9" fillId="7" borderId="7" xfId="0" applyFont="1" applyFill="1" applyBorder="1" applyAlignment="1">
      <alignment vertical="center"/>
    </xf>
    <xf numFmtId="0" fontId="19" fillId="7" borderId="8" xfId="0" applyFont="1" applyFill="1" applyBorder="1" applyAlignment="1">
      <alignment vertical="center"/>
    </xf>
    <xf numFmtId="0" fontId="13" fillId="8" borderId="11" xfId="0" applyFont="1" applyFill="1" applyBorder="1" applyAlignment="1">
      <alignment vertical="center" wrapText="1"/>
    </xf>
    <xf numFmtId="0" fontId="13" fillId="8" borderId="13" xfId="0" applyFont="1" applyFill="1" applyBorder="1" applyAlignment="1">
      <alignment vertical="center" wrapText="1"/>
    </xf>
    <xf numFmtId="2" fontId="19" fillId="10" borderId="22" xfId="13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4" fillId="9" borderId="18" xfId="0" applyFont="1" applyFill="1" applyBorder="1" applyAlignment="1">
      <alignment vertical="center"/>
    </xf>
    <xf numFmtId="0" fontId="23" fillId="9" borderId="19" xfId="0" applyFont="1" applyFill="1" applyBorder="1" applyAlignment="1">
      <alignment vertical="center"/>
    </xf>
    <xf numFmtId="0" fontId="23" fillId="9" borderId="2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43" fontId="1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43" fontId="13" fillId="2" borderId="0" xfId="0" applyNumberFormat="1" applyFont="1" applyFill="1" applyBorder="1" applyAlignment="1">
      <alignment vertical="center"/>
    </xf>
    <xf numFmtId="43" fontId="13" fillId="2" borderId="0" xfId="13" applyFont="1" applyFill="1" applyBorder="1" applyAlignment="1">
      <alignment vertical="center"/>
    </xf>
    <xf numFmtId="2" fontId="13" fillId="8" borderId="33" xfId="13" applyNumberFormat="1" applyFont="1" applyFill="1" applyBorder="1" applyAlignment="1">
      <alignment horizontal="center" vertical="center"/>
    </xf>
    <xf numFmtId="2" fontId="13" fillId="8" borderId="34" xfId="13" applyNumberFormat="1" applyFont="1" applyFill="1" applyBorder="1" applyAlignment="1">
      <alignment horizontal="center" vertical="center"/>
    </xf>
    <xf numFmtId="2" fontId="13" fillId="2" borderId="0" xfId="0" applyNumberFormat="1" applyFont="1" applyFill="1" applyAlignment="1">
      <alignment horizontal="center" vertical="center"/>
    </xf>
    <xf numFmtId="2" fontId="13" fillId="2" borderId="33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/>
    </xf>
    <xf numFmtId="0" fontId="19" fillId="10" borderId="24" xfId="0" applyFont="1" applyFill="1" applyBorder="1" applyAlignment="1">
      <alignment horizontal="center" vertical="center" wrapText="1"/>
    </xf>
    <xf numFmtId="0" fontId="19" fillId="10" borderId="25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9" fillId="10" borderId="23" xfId="0" applyFont="1" applyFill="1" applyBorder="1" applyAlignment="1">
      <alignment horizontal="center" vertical="center"/>
    </xf>
    <xf numFmtId="2" fontId="13" fillId="8" borderId="33" xfId="0" applyNumberFormat="1" applyFont="1" applyFill="1" applyBorder="1" applyAlignment="1">
      <alignment horizontal="center"/>
    </xf>
    <xf numFmtId="0" fontId="19" fillId="10" borderId="23" xfId="0" applyFont="1" applyFill="1" applyBorder="1" applyAlignment="1">
      <alignment horizontal="center" vertical="center" wrapText="1"/>
    </xf>
    <xf numFmtId="2" fontId="13" fillId="11" borderId="33" xfId="0" applyNumberFormat="1" applyFont="1" applyFill="1" applyBorder="1" applyAlignment="1">
      <alignment horizontal="center" vertical="center"/>
    </xf>
    <xf numFmtId="2" fontId="13" fillId="11" borderId="34" xfId="0" applyNumberFormat="1" applyFont="1" applyFill="1" applyBorder="1" applyAlignment="1">
      <alignment horizontal="center" vertical="center"/>
    </xf>
    <xf numFmtId="2" fontId="13" fillId="11" borderId="36" xfId="0" applyNumberFormat="1" applyFont="1" applyFill="1" applyBorder="1" applyAlignment="1">
      <alignment horizontal="center" vertical="center"/>
    </xf>
    <xf numFmtId="2" fontId="13" fillId="11" borderId="37" xfId="0" applyNumberFormat="1" applyFont="1" applyFill="1" applyBorder="1" applyAlignment="1">
      <alignment horizontal="center" vertical="center"/>
    </xf>
    <xf numFmtId="1" fontId="13" fillId="11" borderId="32" xfId="0" applyNumberFormat="1" applyFont="1" applyFill="1" applyBorder="1" applyAlignment="1">
      <alignment horizontal="center" vertical="center"/>
    </xf>
    <xf numFmtId="1" fontId="13" fillId="11" borderId="35" xfId="0" applyNumberFormat="1" applyFont="1" applyFill="1" applyBorder="1" applyAlignment="1">
      <alignment horizontal="center" vertical="center"/>
    </xf>
    <xf numFmtId="1" fontId="19" fillId="8" borderId="32" xfId="0" applyNumberFormat="1" applyFont="1" applyFill="1" applyBorder="1" applyAlignment="1">
      <alignment horizontal="center" vertical="center"/>
    </xf>
    <xf numFmtId="0" fontId="28" fillId="12" borderId="0" xfId="0" applyFont="1" applyFill="1"/>
    <xf numFmtId="0" fontId="27" fillId="12" borderId="0" xfId="0" applyFont="1" applyFill="1" applyAlignment="1">
      <alignment horizontal="center"/>
    </xf>
    <xf numFmtId="2" fontId="27" fillId="12" borderId="0" xfId="0" applyNumberFormat="1" applyFont="1" applyFill="1"/>
    <xf numFmtId="167" fontId="27" fillId="12" borderId="0" xfId="0" applyNumberFormat="1" applyFont="1" applyFill="1"/>
    <xf numFmtId="2" fontId="27" fillId="12" borderId="0" xfId="0" applyNumberFormat="1" applyFont="1" applyFill="1" applyAlignment="1">
      <alignment horizontal="right"/>
    </xf>
    <xf numFmtId="0" fontId="28" fillId="14" borderId="41" xfId="0" applyFont="1" applyFill="1" applyBorder="1"/>
    <xf numFmtId="0" fontId="28" fillId="14" borderId="42" xfId="0" applyFont="1" applyFill="1" applyBorder="1"/>
    <xf numFmtId="0" fontId="19" fillId="7" borderId="26" xfId="0" applyFont="1" applyFill="1" applyBorder="1" applyAlignment="1">
      <alignment horizontal="center" vertical="center"/>
    </xf>
    <xf numFmtId="0" fontId="27" fillId="14" borderId="43" xfId="0" applyFont="1" applyFill="1" applyBorder="1" applyAlignment="1">
      <alignment horizontal="center" vertical="center"/>
    </xf>
    <xf numFmtId="0" fontId="27" fillId="14" borderId="43" xfId="0" applyFont="1" applyFill="1" applyBorder="1" applyAlignment="1">
      <alignment horizontal="center" vertical="center" wrapText="1"/>
    </xf>
    <xf numFmtId="0" fontId="27" fillId="14" borderId="44" xfId="0" applyFont="1" applyFill="1" applyBorder="1" applyAlignment="1">
      <alignment horizontal="center" vertical="center" wrapText="1"/>
    </xf>
    <xf numFmtId="165" fontId="28" fillId="19" borderId="47" xfId="13" applyNumberFormat="1" applyFont="1" applyFill="1" applyBorder="1" applyAlignment="1">
      <alignment horizontal="center" vertical="center"/>
    </xf>
    <xf numFmtId="165" fontId="28" fillId="16" borderId="47" xfId="13" applyNumberFormat="1" applyFont="1" applyFill="1" applyBorder="1" applyAlignment="1">
      <alignment horizontal="center" vertical="center"/>
    </xf>
    <xf numFmtId="166" fontId="28" fillId="16" borderId="47" xfId="13" applyNumberFormat="1" applyFont="1" applyFill="1" applyBorder="1" applyAlignment="1">
      <alignment horizontal="center" vertical="center"/>
    </xf>
    <xf numFmtId="165" fontId="28" fillId="16" borderId="48" xfId="13" applyNumberFormat="1" applyFont="1" applyFill="1" applyBorder="1" applyAlignment="1">
      <alignment horizontal="center" vertical="center"/>
    </xf>
    <xf numFmtId="165" fontId="27" fillId="14" borderId="51" xfId="13" applyNumberFormat="1" applyFont="1" applyFill="1" applyBorder="1" applyAlignment="1">
      <alignment horizontal="center" vertical="center"/>
    </xf>
    <xf numFmtId="165" fontId="27" fillId="15" borderId="51" xfId="13" applyNumberFormat="1" applyFont="1" applyFill="1" applyBorder="1" applyAlignment="1">
      <alignment horizontal="center" vertical="center"/>
    </xf>
    <xf numFmtId="166" fontId="27" fillId="14" borderId="51" xfId="13" applyNumberFormat="1" applyFont="1" applyFill="1" applyBorder="1" applyAlignment="1">
      <alignment horizontal="center" vertical="center"/>
    </xf>
    <xf numFmtId="165" fontId="27" fillId="14" borderId="52" xfId="13" applyNumberFormat="1" applyFont="1" applyFill="1" applyBorder="1" applyAlignment="1">
      <alignment horizontal="center" vertical="center"/>
    </xf>
    <xf numFmtId="167" fontId="27" fillId="14" borderId="43" xfId="0" applyNumberFormat="1" applyFont="1" applyFill="1" applyBorder="1" applyAlignment="1">
      <alignment horizontal="center" vertical="center" wrapText="1"/>
    </xf>
    <xf numFmtId="165" fontId="27" fillId="13" borderId="51" xfId="13" applyNumberFormat="1" applyFont="1" applyFill="1" applyBorder="1" applyAlignment="1">
      <alignment horizontal="center" vertical="center"/>
    </xf>
    <xf numFmtId="166" fontId="27" fillId="15" borderId="51" xfId="13" applyNumberFormat="1" applyFont="1" applyFill="1" applyBorder="1" applyAlignment="1">
      <alignment horizontal="center" vertical="center"/>
    </xf>
    <xf numFmtId="165" fontId="27" fillId="13" borderId="52" xfId="13" applyNumberFormat="1" applyFont="1" applyFill="1" applyBorder="1" applyAlignment="1">
      <alignment horizontal="center" vertical="center"/>
    </xf>
    <xf numFmtId="0" fontId="30" fillId="12" borderId="0" xfId="14" applyFont="1" applyFill="1"/>
    <xf numFmtId="0" fontId="32" fillId="20" borderId="56" xfId="14" applyFont="1" applyFill="1" applyBorder="1"/>
    <xf numFmtId="0" fontId="33" fillId="20" borderId="57" xfId="14" applyFont="1" applyFill="1" applyBorder="1"/>
    <xf numFmtId="0" fontId="34" fillId="12" borderId="0" xfId="14" applyFont="1" applyFill="1"/>
    <xf numFmtId="165" fontId="30" fillId="12" borderId="0" xfId="14" applyNumberFormat="1" applyFont="1" applyFill="1" applyAlignment="1">
      <alignment horizontal="right"/>
    </xf>
    <xf numFmtId="0" fontId="35" fillId="12" borderId="0" xfId="14" applyFont="1" applyFill="1" applyAlignment="1">
      <alignment horizontal="right"/>
    </xf>
    <xf numFmtId="168" fontId="36" fillId="21" borderId="58" xfId="14" applyNumberFormat="1" applyFont="1" applyFill="1" applyBorder="1" applyAlignment="1">
      <alignment horizontal="center" vertical="center"/>
    </xf>
    <xf numFmtId="165" fontId="37" fillId="21" borderId="59" xfId="14" applyNumberFormat="1" applyFont="1" applyFill="1" applyBorder="1" applyAlignment="1">
      <alignment horizontal="center" vertical="center" wrapText="1"/>
    </xf>
    <xf numFmtId="165" fontId="37" fillId="21" borderId="61" xfId="14" applyNumberFormat="1" applyFont="1" applyFill="1" applyBorder="1" applyAlignment="1">
      <alignment horizontal="right"/>
    </xf>
    <xf numFmtId="165" fontId="37" fillId="21" borderId="62" xfId="14" applyNumberFormat="1" applyFont="1" applyFill="1" applyBorder="1" applyAlignment="1">
      <alignment horizontal="right"/>
    </xf>
    <xf numFmtId="165" fontId="30" fillId="17" borderId="30" xfId="14" applyNumberFormat="1" applyFont="1" applyFill="1" applyBorder="1" applyAlignment="1">
      <alignment horizontal="right"/>
    </xf>
    <xf numFmtId="2" fontId="30" fillId="17" borderId="30" xfId="14" applyNumberFormat="1" applyFont="1" applyFill="1" applyBorder="1" applyAlignment="1">
      <alignment horizontal="right"/>
    </xf>
    <xf numFmtId="2" fontId="30" fillId="17" borderId="31" xfId="14" applyNumberFormat="1" applyFont="1" applyFill="1" applyBorder="1" applyAlignment="1">
      <alignment horizontal="right"/>
    </xf>
    <xf numFmtId="2" fontId="30" fillId="12" borderId="0" xfId="14" applyNumberFormat="1" applyFont="1" applyFill="1" applyAlignment="1">
      <alignment horizontal="center" vertical="center"/>
    </xf>
    <xf numFmtId="2" fontId="19" fillId="2" borderId="0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0" fontId="19" fillId="7" borderId="27" xfId="0" applyFont="1" applyFill="1" applyBorder="1" applyAlignment="1">
      <alignment horizontal="center" vertical="center" wrapText="1"/>
    </xf>
    <xf numFmtId="1" fontId="27" fillId="10" borderId="30" xfId="13" applyNumberFormat="1" applyFont="1" applyFill="1" applyBorder="1" applyAlignment="1">
      <alignment horizontal="center" vertical="center" wrapText="1"/>
    </xf>
    <xf numFmtId="1" fontId="27" fillId="10" borderId="31" xfId="13" applyNumberFormat="1" applyFont="1" applyFill="1" applyBorder="1" applyAlignment="1">
      <alignment horizontal="center" vertical="center" wrapText="1"/>
    </xf>
    <xf numFmtId="0" fontId="19" fillId="23" borderId="8" xfId="0" applyFont="1" applyFill="1" applyBorder="1" applyAlignment="1">
      <alignment vertical="center"/>
    </xf>
    <xf numFmtId="0" fontId="13" fillId="23" borderId="9" xfId="0" applyFont="1" applyFill="1" applyBorder="1" applyAlignment="1">
      <alignment vertical="center"/>
    </xf>
    <xf numFmtId="0" fontId="19" fillId="23" borderId="7" xfId="0" applyFont="1" applyFill="1" applyBorder="1" applyAlignment="1">
      <alignment vertical="center"/>
    </xf>
    <xf numFmtId="1" fontId="27" fillId="10" borderId="71" xfId="13" applyNumberFormat="1" applyFont="1" applyFill="1" applyBorder="1" applyAlignment="1">
      <alignment horizontal="center" vertical="center" wrapText="1"/>
    </xf>
    <xf numFmtId="3" fontId="28" fillId="2" borderId="76" xfId="13" applyNumberFormat="1" applyFont="1" applyFill="1" applyBorder="1" applyAlignment="1">
      <alignment horizontal="center" vertical="center" wrapText="1"/>
    </xf>
    <xf numFmtId="3" fontId="27" fillId="10" borderId="23" xfId="13" applyNumberFormat="1" applyFont="1" applyFill="1" applyBorder="1" applyAlignment="1">
      <alignment horizontal="center" vertical="center"/>
    </xf>
    <xf numFmtId="1" fontId="27" fillId="10" borderId="24" xfId="13" applyNumberFormat="1" applyFont="1" applyFill="1" applyBorder="1" applyAlignment="1">
      <alignment horizontal="center" vertical="center" wrapText="1"/>
    </xf>
    <xf numFmtId="1" fontId="27" fillId="10" borderId="25" xfId="13" applyNumberFormat="1" applyFont="1" applyFill="1" applyBorder="1" applyAlignment="1">
      <alignment horizontal="center" vertical="center" wrapText="1"/>
    </xf>
    <xf numFmtId="10" fontId="19" fillId="7" borderId="29" xfId="0" applyNumberFormat="1" applyFont="1" applyFill="1" applyBorder="1" applyAlignment="1">
      <alignment horizontal="center" vertical="center" wrapText="1"/>
    </xf>
    <xf numFmtId="10" fontId="19" fillId="7" borderId="81" xfId="0" applyNumberFormat="1" applyFont="1" applyFill="1" applyBorder="1" applyAlignment="1">
      <alignment horizontal="center" vertical="center" wrapText="1"/>
    </xf>
    <xf numFmtId="10" fontId="19" fillId="7" borderId="81" xfId="0" applyNumberFormat="1" applyFont="1" applyFill="1" applyBorder="1" applyAlignment="1">
      <alignment horizontal="center" vertical="center"/>
    </xf>
    <xf numFmtId="10" fontId="19" fillId="7" borderId="73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10" fontId="19" fillId="8" borderId="29" xfId="17" applyNumberFormat="1" applyFont="1" applyFill="1" applyBorder="1" applyAlignment="1">
      <alignment horizontal="center" vertical="center" wrapText="1"/>
    </xf>
    <xf numFmtId="10" fontId="19" fillId="8" borderId="81" xfId="17" applyNumberFormat="1" applyFont="1" applyFill="1" applyBorder="1" applyAlignment="1">
      <alignment horizontal="center" vertical="center" wrapText="1"/>
    </xf>
    <xf numFmtId="10" fontId="19" fillId="8" borderId="73" xfId="17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40" fillId="7" borderId="21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wrapText="1"/>
    </xf>
    <xf numFmtId="0" fontId="19" fillId="7" borderId="28" xfId="0" applyFont="1" applyFill="1" applyBorder="1" applyAlignment="1">
      <alignment horizontal="center" vertical="center"/>
    </xf>
    <xf numFmtId="43" fontId="19" fillId="7" borderId="22" xfId="0" applyNumberFormat="1" applyFont="1" applyFill="1" applyBorder="1" applyAlignment="1">
      <alignment horizontal="center" vertical="center"/>
    </xf>
    <xf numFmtId="10" fontId="19" fillId="7" borderId="22" xfId="0" applyNumberFormat="1" applyFont="1" applyFill="1" applyBorder="1" applyAlignment="1">
      <alignment horizontal="center"/>
    </xf>
    <xf numFmtId="0" fontId="37" fillId="16" borderId="81" xfId="0" applyFont="1" applyFill="1" applyBorder="1" applyAlignment="1">
      <alignment horizontal="left" vertical="center" wrapText="1"/>
    </xf>
    <xf numFmtId="167" fontId="37" fillId="16" borderId="82" xfId="0" applyNumberFormat="1" applyFont="1" applyFill="1" applyBorder="1" applyAlignment="1">
      <alignment horizontal="left" vertical="center"/>
    </xf>
    <xf numFmtId="0" fontId="37" fillId="25" borderId="81" xfId="0" applyFont="1" applyFill="1" applyBorder="1" applyAlignment="1">
      <alignment horizontal="left" vertical="center" wrapText="1"/>
    </xf>
    <xf numFmtId="165" fontId="37" fillId="25" borderId="82" xfId="0" applyNumberFormat="1" applyFont="1" applyFill="1" applyBorder="1" applyAlignment="1">
      <alignment horizontal="left" vertical="center"/>
    </xf>
    <xf numFmtId="165" fontId="37" fillId="25" borderId="82" xfId="16" applyNumberFormat="1" applyFont="1" applyFill="1" applyBorder="1" applyAlignment="1">
      <alignment horizontal="left"/>
    </xf>
    <xf numFmtId="0" fontId="37" fillId="25" borderId="73" xfId="0" applyFont="1" applyFill="1" applyBorder="1" applyAlignment="1">
      <alignment horizontal="left" vertical="center" wrapText="1"/>
    </xf>
    <xf numFmtId="165" fontId="37" fillId="25" borderId="78" xfId="0" applyNumberFormat="1" applyFont="1" applyFill="1" applyBorder="1" applyAlignment="1">
      <alignment horizontal="left"/>
    </xf>
    <xf numFmtId="10" fontId="13" fillId="2" borderId="82" xfId="17" applyNumberFormat="1" applyFont="1" applyFill="1" applyBorder="1" applyAlignment="1">
      <alignment horizontal="center" vertical="center"/>
    </xf>
    <xf numFmtId="10" fontId="13" fillId="2" borderId="78" xfId="17" applyNumberFormat="1" applyFont="1" applyFill="1" applyBorder="1" applyAlignment="1">
      <alignment horizontal="center" vertical="center"/>
    </xf>
    <xf numFmtId="43" fontId="13" fillId="8" borderId="30" xfId="0" applyNumberFormat="1" applyFont="1" applyFill="1" applyBorder="1" applyAlignment="1">
      <alignment horizontal="center"/>
    </xf>
    <xf numFmtId="172" fontId="13" fillId="8" borderId="30" xfId="0" applyNumberFormat="1" applyFont="1" applyFill="1" applyBorder="1" applyAlignment="1">
      <alignment horizontal="center"/>
    </xf>
    <xf numFmtId="43" fontId="13" fillId="8" borderId="31" xfId="0" applyNumberFormat="1" applyFont="1" applyFill="1" applyBorder="1" applyAlignment="1">
      <alignment horizontal="center"/>
    </xf>
    <xf numFmtId="43" fontId="13" fillId="8" borderId="75" xfId="0" applyNumberFormat="1" applyFont="1" applyFill="1" applyBorder="1" applyAlignment="1">
      <alignment horizontal="center"/>
    </xf>
    <xf numFmtId="172" fontId="13" fillId="8" borderId="75" xfId="0" applyNumberFormat="1" applyFont="1" applyFill="1" applyBorder="1" applyAlignment="1">
      <alignment horizontal="center"/>
    </xf>
    <xf numFmtId="43" fontId="13" fillId="8" borderId="82" xfId="0" applyNumberFormat="1" applyFont="1" applyFill="1" applyBorder="1" applyAlignment="1">
      <alignment horizontal="center"/>
    </xf>
    <xf numFmtId="43" fontId="13" fillId="8" borderId="77" xfId="0" applyNumberFormat="1" applyFont="1" applyFill="1" applyBorder="1" applyAlignment="1">
      <alignment horizontal="center"/>
    </xf>
    <xf numFmtId="172" fontId="13" fillId="8" borderId="77" xfId="0" applyNumberFormat="1" applyFont="1" applyFill="1" applyBorder="1" applyAlignment="1">
      <alignment horizontal="center"/>
    </xf>
    <xf numFmtId="43" fontId="13" fillId="8" borderId="78" xfId="0" applyNumberFormat="1" applyFont="1" applyFill="1" applyBorder="1" applyAlignment="1">
      <alignment horizontal="center"/>
    </xf>
    <xf numFmtId="0" fontId="19" fillId="10" borderId="30" xfId="0" applyFont="1" applyFill="1" applyBorder="1" applyAlignment="1">
      <alignment horizontal="center" vertical="center" wrapText="1"/>
    </xf>
    <xf numFmtId="0" fontId="19" fillId="10" borderId="31" xfId="0" applyFont="1" applyFill="1" applyBorder="1" applyAlignment="1">
      <alignment horizontal="center" vertical="center" wrapText="1"/>
    </xf>
    <xf numFmtId="0" fontId="19" fillId="23" borderId="21" xfId="0" applyFont="1" applyFill="1" applyBorder="1" applyAlignment="1">
      <alignment vertical="center"/>
    </xf>
    <xf numFmtId="0" fontId="30" fillId="10" borderId="12" xfId="0" applyFont="1" applyFill="1" applyBorder="1" applyAlignment="1">
      <alignment horizontal="center" vertical="center"/>
    </xf>
    <xf numFmtId="0" fontId="30" fillId="11" borderId="63" xfId="0" applyFont="1" applyFill="1" applyBorder="1" applyAlignment="1">
      <alignment horizontal="center" vertical="center"/>
    </xf>
    <xf numFmtId="0" fontId="30" fillId="10" borderId="16" xfId="0" applyFont="1" applyFill="1" applyBorder="1" applyAlignment="1">
      <alignment horizontal="center" vertical="center"/>
    </xf>
    <xf numFmtId="0" fontId="30" fillId="11" borderId="67" xfId="0" applyFont="1" applyFill="1" applyBorder="1" applyAlignment="1">
      <alignment horizontal="center" vertical="center"/>
    </xf>
    <xf numFmtId="3" fontId="44" fillId="10" borderId="22" xfId="5" applyNumberFormat="1" applyFont="1" applyFill="1" applyBorder="1" applyAlignment="1" applyProtection="1">
      <alignment horizontal="center"/>
      <protection locked="0"/>
    </xf>
    <xf numFmtId="4" fontId="44" fillId="10" borderId="74" xfId="5" applyNumberFormat="1" applyFont="1" applyFill="1" applyBorder="1" applyAlignment="1">
      <alignment horizontal="center"/>
    </xf>
    <xf numFmtId="4" fontId="44" fillId="10" borderId="22" xfId="5" applyNumberFormat="1" applyFont="1" applyFill="1" applyBorder="1" applyAlignment="1">
      <alignment horizontal="center"/>
    </xf>
    <xf numFmtId="4" fontId="44" fillId="2" borderId="0" xfId="5" applyNumberFormat="1" applyFont="1" applyFill="1" applyBorder="1" applyAlignment="1">
      <alignment horizontal="center"/>
    </xf>
    <xf numFmtId="0" fontId="28" fillId="12" borderId="0" xfId="0" applyFont="1" applyFill="1" applyAlignment="1"/>
    <xf numFmtId="0" fontId="27" fillId="12" borderId="0" xfId="0" applyFont="1" applyFill="1" applyAlignment="1">
      <alignment wrapText="1"/>
    </xf>
    <xf numFmtId="0" fontId="27" fillId="12" borderId="0" xfId="0" applyFont="1" applyFill="1"/>
    <xf numFmtId="0" fontId="28" fillId="30" borderId="85" xfId="0" applyFont="1" applyFill="1" applyBorder="1"/>
    <xf numFmtId="0" fontId="27" fillId="30" borderId="86" xfId="0" applyFont="1" applyFill="1" applyBorder="1" applyAlignment="1">
      <alignment horizontal="left" vertical="center" wrapText="1"/>
    </xf>
    <xf numFmtId="0" fontId="30" fillId="11" borderId="13" xfId="0" applyFont="1" applyFill="1" applyBorder="1" applyAlignment="1">
      <alignment horizontal="center" vertical="center" wrapText="1"/>
    </xf>
    <xf numFmtId="169" fontId="30" fillId="11" borderId="88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 wrapText="1"/>
    </xf>
    <xf numFmtId="0" fontId="23" fillId="9" borderId="19" xfId="0" applyFont="1" applyFill="1" applyBorder="1" applyAlignment="1">
      <alignment vertical="center" wrapText="1"/>
    </xf>
    <xf numFmtId="0" fontId="30" fillId="11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vertical="center" wrapText="1"/>
    </xf>
    <xf numFmtId="0" fontId="15" fillId="6" borderId="4" xfId="1" applyFont="1" applyFill="1" applyBorder="1" applyAlignment="1" applyProtection="1">
      <alignment vertical="center" wrapText="1"/>
      <protection locked="0"/>
    </xf>
    <xf numFmtId="0" fontId="19" fillId="7" borderId="9" xfId="0" applyFont="1" applyFill="1" applyBorder="1" applyAlignment="1">
      <alignment vertical="center" wrapText="1"/>
    </xf>
    <xf numFmtId="0" fontId="44" fillId="23" borderId="21" xfId="0" applyFont="1" applyFill="1" applyBorder="1" applyAlignment="1">
      <alignment horizontal="center" vertical="center"/>
    </xf>
    <xf numFmtId="0" fontId="44" fillId="23" borderId="7" xfId="0" applyFont="1" applyFill="1" applyBorder="1" applyAlignment="1">
      <alignment horizontal="left" vertical="center"/>
    </xf>
    <xf numFmtId="2" fontId="13" fillId="23" borderId="19" xfId="0" applyNumberFormat="1" applyFont="1" applyFill="1" applyBorder="1" applyAlignment="1">
      <alignment horizontal="left" vertical="center"/>
    </xf>
    <xf numFmtId="0" fontId="13" fillId="23" borderId="20" xfId="0" applyFont="1" applyFill="1" applyBorder="1" applyAlignment="1">
      <alignment horizontal="left" vertical="center"/>
    </xf>
    <xf numFmtId="2" fontId="13" fillId="23" borderId="20" xfId="0" applyNumberFormat="1" applyFont="1" applyFill="1" applyBorder="1" applyAlignment="1">
      <alignment horizontal="left" vertical="center"/>
    </xf>
    <xf numFmtId="0" fontId="37" fillId="21" borderId="59" xfId="14" applyNumberFormat="1" applyFont="1" applyFill="1" applyBorder="1" applyAlignment="1">
      <alignment horizontal="center" vertical="center" wrapText="1"/>
    </xf>
    <xf numFmtId="0" fontId="37" fillId="21" borderId="60" xfId="14" applyNumberFormat="1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vertical="center"/>
    </xf>
    <xf numFmtId="0" fontId="27" fillId="26" borderId="7" xfId="0" applyFont="1" applyFill="1" applyBorder="1" applyAlignment="1"/>
    <xf numFmtId="0" fontId="48" fillId="11" borderId="0" xfId="0" applyFont="1" applyFill="1" applyBorder="1" applyAlignment="1">
      <alignment horizontal="center" vertical="center" wrapText="1"/>
    </xf>
    <xf numFmtId="0" fontId="49" fillId="8" borderId="63" xfId="0" applyFont="1" applyFill="1" applyBorder="1" applyAlignment="1">
      <alignment horizontal="center" vertical="center"/>
    </xf>
    <xf numFmtId="2" fontId="49" fillId="8" borderId="63" xfId="0" applyNumberFormat="1" applyFont="1" applyFill="1" applyBorder="1" applyAlignment="1">
      <alignment horizontal="center" vertical="center"/>
    </xf>
    <xf numFmtId="2" fontId="49" fillId="8" borderId="84" xfId="0" applyNumberFormat="1" applyFont="1" applyFill="1" applyBorder="1" applyAlignment="1">
      <alignment horizontal="center" vertical="center"/>
    </xf>
    <xf numFmtId="169" fontId="49" fillId="8" borderId="63" xfId="0" applyNumberFormat="1" applyFont="1" applyFill="1" applyBorder="1" applyAlignment="1">
      <alignment horizontal="center" vertical="center"/>
    </xf>
    <xf numFmtId="2" fontId="49" fillId="8" borderId="13" xfId="0" applyNumberFormat="1" applyFont="1" applyFill="1" applyBorder="1" applyAlignment="1">
      <alignment horizontal="center" vertical="center"/>
    </xf>
    <xf numFmtId="0" fontId="49" fillId="8" borderId="63" xfId="0" applyFont="1" applyFill="1" applyBorder="1" applyAlignment="1">
      <alignment horizontal="center" vertical="center" wrapText="1"/>
    </xf>
    <xf numFmtId="2" fontId="49" fillId="8" borderId="63" xfId="0" quotePrefix="1" applyNumberFormat="1" applyFont="1" applyFill="1" applyBorder="1" applyAlignment="1">
      <alignment horizontal="center" vertical="center"/>
    </xf>
    <xf numFmtId="0" fontId="49" fillId="8" borderId="67" xfId="0" applyFont="1" applyFill="1" applyBorder="1" applyAlignment="1">
      <alignment horizontal="center" vertical="center"/>
    </xf>
    <xf numFmtId="2" fontId="49" fillId="8" borderId="67" xfId="0" applyNumberFormat="1" applyFont="1" applyFill="1" applyBorder="1" applyAlignment="1">
      <alignment horizontal="center" vertical="center"/>
    </xf>
    <xf numFmtId="2" fontId="49" fillId="8" borderId="17" xfId="0" applyNumberFormat="1" applyFont="1" applyFill="1" applyBorder="1" applyAlignment="1">
      <alignment horizontal="center" vertical="center"/>
    </xf>
    <xf numFmtId="0" fontId="47" fillId="8" borderId="63" xfId="0" applyFont="1" applyFill="1" applyBorder="1" applyAlignment="1">
      <alignment horizontal="center" vertical="center" wrapText="1"/>
    </xf>
    <xf numFmtId="169" fontId="49" fillId="8" borderId="63" xfId="0" quotePrefix="1" applyNumberFormat="1" applyFont="1" applyFill="1" applyBorder="1" applyAlignment="1">
      <alignment horizontal="center" vertical="center"/>
    </xf>
    <xf numFmtId="0" fontId="47" fillId="8" borderId="91" xfId="0" applyFont="1" applyFill="1" applyBorder="1" applyAlignment="1">
      <alignment horizontal="center" vertical="center" wrapText="1"/>
    </xf>
    <xf numFmtId="2" fontId="49" fillId="8" borderId="91" xfId="0" applyNumberFormat="1" applyFont="1" applyFill="1" applyBorder="1" applyAlignment="1">
      <alignment horizontal="center" vertical="center"/>
    </xf>
    <xf numFmtId="2" fontId="48" fillId="8" borderId="91" xfId="0" applyNumberFormat="1" applyFont="1" applyFill="1" applyBorder="1" applyAlignment="1">
      <alignment horizontal="center" vertical="center"/>
    </xf>
    <xf numFmtId="0" fontId="49" fillId="8" borderId="91" xfId="0" applyFont="1" applyFill="1" applyBorder="1" applyAlignment="1">
      <alignment horizontal="center" vertical="center"/>
    </xf>
    <xf numFmtId="169" fontId="48" fillId="8" borderId="91" xfId="0" applyNumberFormat="1" applyFont="1" applyFill="1" applyBorder="1" applyAlignment="1">
      <alignment horizontal="center" vertical="center"/>
    </xf>
    <xf numFmtId="2" fontId="49" fillId="8" borderId="15" xfId="0" applyNumberFormat="1" applyFont="1" applyFill="1" applyBorder="1" applyAlignment="1">
      <alignment horizontal="center" vertical="center"/>
    </xf>
    <xf numFmtId="1" fontId="30" fillId="12" borderId="30" xfId="15" applyNumberFormat="1" applyFont="1" applyFill="1" applyBorder="1" applyAlignment="1">
      <alignment horizontal="center"/>
    </xf>
    <xf numFmtId="1" fontId="30" fillId="12" borderId="30" xfId="14" applyNumberFormat="1" applyFont="1" applyFill="1" applyBorder="1" applyAlignment="1">
      <alignment horizontal="center"/>
    </xf>
    <xf numFmtId="1" fontId="30" fillId="12" borderId="30" xfId="14" applyNumberFormat="1" applyFont="1" applyFill="1" applyBorder="1" applyAlignment="1">
      <alignment horizontal="center" vertical="center" wrapText="1"/>
    </xf>
    <xf numFmtId="165" fontId="30" fillId="12" borderId="0" xfId="14" applyNumberFormat="1" applyFont="1" applyFill="1" applyBorder="1" applyAlignment="1">
      <alignment horizontal="right"/>
    </xf>
    <xf numFmtId="165" fontId="30" fillId="12" borderId="93" xfId="14" applyNumberFormat="1" applyFont="1" applyFill="1" applyBorder="1" applyAlignment="1">
      <alignment horizontal="right"/>
    </xf>
    <xf numFmtId="165" fontId="30" fillId="12" borderId="95" xfId="14" applyNumberFormat="1" applyFont="1" applyFill="1" applyBorder="1" applyAlignment="1">
      <alignment horizontal="right"/>
    </xf>
    <xf numFmtId="165" fontId="18" fillId="12" borderId="30" xfId="14" applyNumberFormat="1" applyFont="1" applyFill="1" applyBorder="1" applyAlignment="1">
      <alignment horizontal="center"/>
    </xf>
    <xf numFmtId="165" fontId="18" fillId="12" borderId="30" xfId="14" applyNumberFormat="1" applyFont="1" applyFill="1" applyBorder="1" applyAlignment="1">
      <alignment horizontal="center" vertical="center"/>
    </xf>
    <xf numFmtId="165" fontId="44" fillId="21" borderId="59" xfId="14" applyNumberFormat="1" applyFont="1" applyFill="1" applyBorder="1" applyAlignment="1">
      <alignment horizontal="center" vertical="center" wrapText="1"/>
    </xf>
    <xf numFmtId="1" fontId="18" fillId="12" borderId="30" xfId="14" applyNumberFormat="1" applyFont="1" applyFill="1" applyBorder="1" applyAlignment="1">
      <alignment horizontal="center"/>
    </xf>
    <xf numFmtId="165" fontId="51" fillId="12" borderId="0" xfId="14" applyNumberFormat="1" applyFont="1" applyFill="1" applyAlignment="1">
      <alignment horizontal="right"/>
    </xf>
    <xf numFmtId="2" fontId="51" fillId="12" borderId="0" xfId="14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96" xfId="0" applyFont="1" applyFill="1" applyBorder="1" applyAlignment="1">
      <alignment horizontal="center" vertical="center"/>
    </xf>
    <xf numFmtId="0" fontId="13" fillId="0" borderId="88" xfId="0" applyFont="1" applyFill="1" applyBorder="1" applyAlignment="1">
      <alignment horizontal="center" vertical="center"/>
    </xf>
    <xf numFmtId="169" fontId="13" fillId="0" borderId="63" xfId="0" applyNumberFormat="1" applyFont="1" applyFill="1" applyBorder="1" applyAlignment="1">
      <alignment horizontal="center" vertical="center"/>
    </xf>
    <xf numFmtId="0" fontId="13" fillId="0" borderId="63" xfId="0" applyFont="1" applyFill="1" applyBorder="1" applyAlignment="1">
      <alignment horizontal="center" vertical="center" wrapText="1"/>
    </xf>
    <xf numFmtId="0" fontId="13" fillId="0" borderId="96" xfId="0" applyFont="1" applyFill="1" applyBorder="1" applyAlignment="1">
      <alignment vertical="center"/>
    </xf>
    <xf numFmtId="0" fontId="13" fillId="0" borderId="97" xfId="0" applyFont="1" applyFill="1" applyBorder="1" applyAlignment="1">
      <alignment vertical="center"/>
    </xf>
    <xf numFmtId="0" fontId="13" fillId="0" borderId="84" xfId="0" applyFont="1" applyFill="1" applyBorder="1" applyAlignment="1">
      <alignment vertical="center"/>
    </xf>
    <xf numFmtId="3" fontId="13" fillId="0" borderId="94" xfId="0" applyNumberFormat="1" applyFont="1" applyFill="1" applyBorder="1" applyAlignment="1">
      <alignment vertical="center" wrapText="1"/>
    </xf>
    <xf numFmtId="0" fontId="13" fillId="0" borderId="63" xfId="0" applyFont="1" applyFill="1" applyBorder="1" applyAlignment="1">
      <alignment vertical="center"/>
    </xf>
    <xf numFmtId="0" fontId="13" fillId="0" borderId="92" xfId="0" applyFont="1" applyFill="1" applyBorder="1" applyAlignment="1">
      <alignment vertical="center"/>
    </xf>
    <xf numFmtId="0" fontId="19" fillId="0" borderId="63" xfId="0" applyFont="1" applyFill="1" applyBorder="1" applyAlignment="1">
      <alignment vertical="center" wrapText="1"/>
    </xf>
    <xf numFmtId="3" fontId="13" fillId="0" borderId="88" xfId="0" applyNumberFormat="1" applyFont="1" applyFill="1" applyBorder="1" applyAlignment="1">
      <alignment horizontal="center" vertical="center" wrapText="1"/>
    </xf>
    <xf numFmtId="165" fontId="18" fillId="12" borderId="0" xfId="14" applyNumberFormat="1" applyFont="1" applyFill="1" applyAlignment="1">
      <alignment horizontal="right"/>
    </xf>
    <xf numFmtId="165" fontId="44" fillId="21" borderId="90" xfId="14" applyNumberFormat="1" applyFont="1" applyFill="1" applyBorder="1" applyAlignment="1">
      <alignment horizontal="center" vertical="center" wrapText="1"/>
    </xf>
    <xf numFmtId="0" fontId="44" fillId="22" borderId="12" xfId="14" applyFont="1" applyFill="1" applyBorder="1" applyAlignment="1">
      <alignment horizontal="center" vertical="center"/>
    </xf>
    <xf numFmtId="4" fontId="44" fillId="21" borderId="61" xfId="14" applyNumberFormat="1" applyFont="1" applyFill="1" applyBorder="1" applyAlignment="1">
      <alignment horizontal="center" vertical="center"/>
    </xf>
    <xf numFmtId="4" fontId="44" fillId="21" borderId="62" xfId="14" applyNumberFormat="1" applyFont="1" applyFill="1" applyBorder="1" applyAlignment="1">
      <alignment horizontal="center" vertical="center"/>
    </xf>
    <xf numFmtId="2" fontId="18" fillId="17" borderId="63" xfId="15" applyNumberFormat="1" applyFont="1" applyFill="1" applyBorder="1" applyAlignment="1">
      <alignment horizontal="center" vertical="center"/>
    </xf>
    <xf numFmtId="2" fontId="18" fillId="17" borderId="13" xfId="15" applyNumberFormat="1" applyFont="1" applyFill="1" applyBorder="1" applyAlignment="1">
      <alignment horizontal="center" vertical="center"/>
    </xf>
    <xf numFmtId="2" fontId="18" fillId="17" borderId="67" xfId="15" applyNumberFormat="1" applyFont="1" applyFill="1" applyBorder="1" applyAlignment="1">
      <alignment horizontal="center" vertical="center"/>
    </xf>
    <xf numFmtId="2" fontId="18" fillId="17" borderId="17" xfId="15" applyNumberFormat="1" applyFont="1" applyFill="1" applyBorder="1" applyAlignment="1">
      <alignment horizontal="center" vertical="center"/>
    </xf>
    <xf numFmtId="165" fontId="51" fillId="12" borderId="0" xfId="14" applyNumberFormat="1" applyFont="1" applyFill="1" applyBorder="1" applyAlignment="1">
      <alignment horizontal="right"/>
    </xf>
    <xf numFmtId="0" fontId="52" fillId="0" borderId="0" xfId="14" applyFont="1" applyFill="1" applyBorder="1" applyAlignment="1">
      <alignment horizontal="center" vertical="center"/>
    </xf>
    <xf numFmtId="3" fontId="52" fillId="0" borderId="0" xfId="15" applyNumberFormat="1" applyFont="1" applyFill="1" applyBorder="1" applyAlignment="1">
      <alignment horizontal="center" vertical="center"/>
    </xf>
    <xf numFmtId="168" fontId="37" fillId="21" borderId="61" xfId="14" applyNumberFormat="1" applyFont="1" applyFill="1" applyBorder="1" applyAlignment="1">
      <alignment horizontal="center"/>
    </xf>
    <xf numFmtId="168" fontId="44" fillId="21" borderId="61" xfId="14" applyNumberFormat="1" applyFont="1" applyFill="1" applyBorder="1" applyAlignment="1">
      <alignment horizontal="center"/>
    </xf>
    <xf numFmtId="168" fontId="37" fillId="21" borderId="62" xfId="14" applyNumberFormat="1" applyFont="1" applyFill="1" applyBorder="1" applyAlignment="1">
      <alignment horizontal="center" vertical="center"/>
    </xf>
    <xf numFmtId="168" fontId="37" fillId="21" borderId="62" xfId="14" applyNumberFormat="1" applyFont="1" applyFill="1" applyBorder="1" applyAlignment="1">
      <alignment horizontal="center"/>
    </xf>
    <xf numFmtId="0" fontId="54" fillId="7" borderId="21" xfId="0" applyFont="1" applyFill="1" applyBorder="1" applyAlignment="1">
      <alignment horizontal="center" vertical="center"/>
    </xf>
    <xf numFmtId="0" fontId="44" fillId="7" borderId="26" xfId="0" applyFont="1" applyFill="1" applyBorder="1" applyAlignment="1">
      <alignment horizontal="center" vertical="center"/>
    </xf>
    <xf numFmtId="0" fontId="44" fillId="7" borderId="27" xfId="0" applyFont="1" applyFill="1" applyBorder="1" applyAlignment="1">
      <alignment horizontal="center" vertical="center" wrapText="1"/>
    </xf>
    <xf numFmtId="0" fontId="44" fillId="7" borderId="27" xfId="0" applyFont="1" applyFill="1" applyBorder="1" applyAlignment="1">
      <alignment horizontal="center" wrapText="1"/>
    </xf>
    <xf numFmtId="0" fontId="44" fillId="7" borderId="28" xfId="0" applyFont="1" applyFill="1" applyBorder="1" applyAlignment="1">
      <alignment horizontal="center" vertical="center"/>
    </xf>
    <xf numFmtId="43" fontId="44" fillId="7" borderId="22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48" fillId="11" borderId="84" xfId="0" applyFont="1" applyFill="1" applyBorder="1" applyAlignment="1">
      <alignment horizontal="center" vertical="center" wrapText="1"/>
    </xf>
    <xf numFmtId="0" fontId="44" fillId="10" borderId="30" xfId="0" applyFont="1" applyFill="1" applyBorder="1" applyAlignment="1">
      <alignment horizontal="center" vertical="center" wrapText="1"/>
    </xf>
    <xf numFmtId="0" fontId="49" fillId="8" borderId="84" xfId="0" applyFont="1" applyFill="1" applyBorder="1" applyAlignment="1">
      <alignment horizontal="center" vertical="center" wrapText="1"/>
    </xf>
    <xf numFmtId="0" fontId="47" fillId="8" borderId="106" xfId="0" applyFont="1" applyFill="1" applyBorder="1" applyAlignment="1">
      <alignment horizontal="center" vertical="center" wrapText="1"/>
    </xf>
    <xf numFmtId="0" fontId="55" fillId="2" borderId="0" xfId="0" applyFont="1" applyFill="1" applyAlignment="1">
      <alignment vertical="center"/>
    </xf>
    <xf numFmtId="0" fontId="56" fillId="9" borderId="18" xfId="0" applyFont="1" applyFill="1" applyBorder="1" applyAlignment="1">
      <alignment vertical="center"/>
    </xf>
    <xf numFmtId="0" fontId="47" fillId="10" borderId="29" xfId="0" applyFont="1" applyFill="1" applyBorder="1" applyAlignment="1">
      <alignment horizontal="center" vertical="center" wrapText="1"/>
    </xf>
    <xf numFmtId="0" fontId="47" fillId="8" borderId="14" xfId="0" applyFont="1" applyFill="1" applyBorder="1" applyAlignment="1">
      <alignment horizontal="center" vertical="center"/>
    </xf>
    <xf numFmtId="0" fontId="47" fillId="8" borderId="12" xfId="0" applyFont="1" applyFill="1" applyBorder="1" applyAlignment="1">
      <alignment horizontal="center" vertical="center"/>
    </xf>
    <xf numFmtId="0" fontId="47" fillId="8" borderId="10" xfId="0" applyFont="1" applyFill="1" applyBorder="1" applyAlignment="1">
      <alignment horizontal="center" vertical="center"/>
    </xf>
    <xf numFmtId="0" fontId="47" fillId="8" borderId="16" xfId="0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0" fontId="57" fillId="10" borderId="29" xfId="0" applyFont="1" applyFill="1" applyBorder="1" applyAlignment="1">
      <alignment horizontal="center" vertical="center" wrapText="1"/>
    </xf>
    <xf numFmtId="0" fontId="58" fillId="10" borderId="30" xfId="0" applyFont="1" applyFill="1" applyBorder="1" applyAlignment="1">
      <alignment horizontal="center" vertical="center" wrapText="1"/>
    </xf>
    <xf numFmtId="0" fontId="62" fillId="10" borderId="30" xfId="0" applyFont="1" applyFill="1" applyBorder="1" applyAlignment="1">
      <alignment horizontal="center" vertical="center" wrapText="1"/>
    </xf>
    <xf numFmtId="0" fontId="58" fillId="10" borderId="31" xfId="0" applyFont="1" applyFill="1" applyBorder="1" applyAlignment="1">
      <alignment horizontal="center" vertical="center" wrapText="1"/>
    </xf>
    <xf numFmtId="0" fontId="47" fillId="8" borderId="67" xfId="0" applyFont="1" applyFill="1" applyBorder="1" applyAlignment="1">
      <alignment horizontal="center" vertical="center" wrapText="1"/>
    </xf>
    <xf numFmtId="2" fontId="48" fillId="8" borderId="67" xfId="0" applyNumberFormat="1" applyFont="1" applyFill="1" applyBorder="1" applyAlignment="1">
      <alignment horizontal="center" vertical="center"/>
    </xf>
    <xf numFmtId="169" fontId="48" fillId="8" borderId="67" xfId="0" applyNumberFormat="1" applyFont="1" applyFill="1" applyBorder="1" applyAlignment="1">
      <alignment horizontal="center" vertical="center"/>
    </xf>
    <xf numFmtId="0" fontId="0" fillId="0" borderId="0" xfId="0" applyBorder="1"/>
    <xf numFmtId="0" fontId="47" fillId="0" borderId="0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/>
    </xf>
    <xf numFmtId="2" fontId="48" fillId="0" borderId="0" xfId="0" applyNumberFormat="1" applyFont="1" applyFill="1" applyBorder="1" applyAlignment="1">
      <alignment horizontal="center" vertical="center"/>
    </xf>
    <xf numFmtId="169" fontId="48" fillId="0" borderId="0" xfId="0" applyNumberFormat="1" applyFont="1" applyFill="1" applyBorder="1" applyAlignment="1">
      <alignment horizontal="center" vertical="center"/>
    </xf>
    <xf numFmtId="2" fontId="49" fillId="0" borderId="0" xfId="0" applyNumberFormat="1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 wrapText="1"/>
    </xf>
    <xf numFmtId="169" fontId="49" fillId="0" borderId="0" xfId="0" applyNumberFormat="1" applyFont="1" applyFill="1" applyBorder="1" applyAlignment="1">
      <alignment horizontal="center" vertical="center"/>
    </xf>
    <xf numFmtId="2" fontId="49" fillId="0" borderId="0" xfId="0" applyNumberFormat="1" applyFont="1" applyFill="1" applyBorder="1" applyAlignment="1">
      <alignment horizontal="center" vertical="center" wrapText="1"/>
    </xf>
    <xf numFmtId="169" fontId="49" fillId="0" borderId="0" xfId="0" applyNumberFormat="1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wrapText="1"/>
    </xf>
    <xf numFmtId="0" fontId="49" fillId="0" borderId="0" xfId="0" applyFont="1" applyFill="1" applyBorder="1" applyAlignment="1">
      <alignment horizontal="center" wrapText="1"/>
    </xf>
    <xf numFmtId="10" fontId="18" fillId="2" borderId="31" xfId="17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0" fontId="19" fillId="10" borderId="107" xfId="0" applyFont="1" applyFill="1" applyBorder="1" applyAlignment="1">
      <alignment horizontal="center" vertical="center"/>
    </xf>
    <xf numFmtId="0" fontId="19" fillId="10" borderId="108" xfId="0" applyFont="1" applyFill="1" applyBorder="1" applyAlignment="1">
      <alignment horizontal="center" vertical="center" wrapText="1"/>
    </xf>
    <xf numFmtId="0" fontId="19" fillId="10" borderId="109" xfId="0" applyFont="1" applyFill="1" applyBorder="1" applyAlignment="1">
      <alignment horizontal="center" vertical="center" wrapText="1"/>
    </xf>
    <xf numFmtId="0" fontId="19" fillId="10" borderId="110" xfId="0" applyFont="1" applyFill="1" applyBorder="1" applyAlignment="1">
      <alignment horizontal="center" vertical="center" wrapText="1"/>
    </xf>
    <xf numFmtId="0" fontId="30" fillId="10" borderId="64" xfId="0" applyFont="1" applyFill="1" applyBorder="1" applyAlignment="1">
      <alignment horizontal="center" vertical="center"/>
    </xf>
    <xf numFmtId="169" fontId="30" fillId="11" borderId="65" xfId="0" applyNumberFormat="1" applyFont="1" applyFill="1" applyBorder="1" applyAlignment="1">
      <alignment horizontal="center" vertical="center"/>
    </xf>
    <xf numFmtId="169" fontId="30" fillId="11" borderId="87" xfId="0" applyNumberFormat="1" applyFont="1" applyFill="1" applyBorder="1" applyAlignment="1">
      <alignment horizontal="center" vertical="center"/>
    </xf>
    <xf numFmtId="0" fontId="30" fillId="11" borderId="66" xfId="0" applyFont="1" applyFill="1" applyBorder="1" applyAlignment="1">
      <alignment horizontal="center" vertical="center" wrapText="1"/>
    </xf>
    <xf numFmtId="169" fontId="30" fillId="11" borderId="89" xfId="0" applyNumberFormat="1" applyFont="1" applyFill="1" applyBorder="1" applyAlignment="1">
      <alignment horizontal="center" vertical="center"/>
    </xf>
    <xf numFmtId="165" fontId="18" fillId="12" borderId="0" xfId="14" applyNumberFormat="1" applyFont="1" applyFill="1" applyBorder="1" applyAlignment="1">
      <alignment horizontal="right"/>
    </xf>
    <xf numFmtId="165" fontId="18" fillId="12" borderId="111" xfId="14" applyNumberFormat="1" applyFont="1" applyFill="1" applyBorder="1" applyAlignment="1">
      <alignment horizontal="right"/>
    </xf>
    <xf numFmtId="0" fontId="44" fillId="21" borderId="65" xfId="14" applyNumberFormat="1" applyFont="1" applyFill="1" applyBorder="1" applyAlignment="1">
      <alignment horizontal="center" vertical="center" wrapText="1"/>
    </xf>
    <xf numFmtId="0" fontId="44" fillId="21" borderId="66" xfId="14" applyNumberFormat="1" applyFont="1" applyFill="1" applyBorder="1" applyAlignment="1">
      <alignment horizontal="center" vertical="center" wrapText="1"/>
    </xf>
    <xf numFmtId="0" fontId="26" fillId="22" borderId="16" xfId="14" applyFont="1" applyFill="1" applyBorder="1" applyAlignment="1">
      <alignment horizontal="center" vertical="center"/>
    </xf>
    <xf numFmtId="0" fontId="30" fillId="12" borderId="0" xfId="14" applyFont="1" applyFill="1" applyBorder="1"/>
    <xf numFmtId="0" fontId="33" fillId="20" borderId="0" xfId="14" applyFont="1" applyFill="1" applyBorder="1"/>
    <xf numFmtId="0" fontId="35" fillId="12" borderId="0" xfId="14" applyFont="1" applyFill="1" applyBorder="1" applyAlignment="1">
      <alignment horizontal="right"/>
    </xf>
    <xf numFmtId="2" fontId="65" fillId="10" borderId="7" xfId="0" applyNumberFormat="1" applyFont="1" applyFill="1" applyBorder="1" applyAlignment="1">
      <alignment horizontal="center" vertical="center"/>
    </xf>
    <xf numFmtId="2" fontId="50" fillId="10" borderId="7" xfId="0" applyNumberFormat="1" applyFont="1" applyFill="1" applyBorder="1" applyAlignment="1">
      <alignment horizontal="center" vertical="center"/>
    </xf>
    <xf numFmtId="43" fontId="13" fillId="2" borderId="0" xfId="0" applyNumberFormat="1" applyFont="1" applyFill="1" applyAlignment="1">
      <alignment horizontal="center"/>
    </xf>
    <xf numFmtId="10" fontId="13" fillId="2" borderId="0" xfId="0" applyNumberFormat="1" applyFont="1" applyFill="1" applyAlignment="1">
      <alignment vertical="center"/>
    </xf>
    <xf numFmtId="174" fontId="13" fillId="2" borderId="0" xfId="0" applyNumberFormat="1" applyFont="1" applyFill="1" applyAlignment="1">
      <alignment vertical="center"/>
    </xf>
    <xf numFmtId="0" fontId="23" fillId="0" borderId="0" xfId="0" applyFont="1" applyFill="1" applyBorder="1" applyAlignment="1">
      <alignment vertical="center"/>
    </xf>
    <xf numFmtId="4" fontId="44" fillId="2" borderId="83" xfId="5" applyNumberFormat="1" applyFont="1" applyFill="1" applyBorder="1" applyAlignment="1">
      <alignment horizontal="center"/>
    </xf>
    <xf numFmtId="0" fontId="48" fillId="11" borderId="67" xfId="0" applyFont="1" applyFill="1" applyBorder="1" applyAlignment="1">
      <alignment horizontal="center" vertical="center" wrapText="1"/>
    </xf>
    <xf numFmtId="169" fontId="49" fillId="8" borderId="67" xfId="0" applyNumberFormat="1" applyFont="1" applyFill="1" applyBorder="1" applyAlignment="1">
      <alignment horizontal="center" vertical="center"/>
    </xf>
    <xf numFmtId="10" fontId="0" fillId="0" borderId="0" xfId="0" applyNumberFormat="1"/>
    <xf numFmtId="4" fontId="13" fillId="2" borderId="0" xfId="0" applyNumberFormat="1" applyFont="1" applyFill="1" applyAlignment="1">
      <alignment vertical="center"/>
    </xf>
    <xf numFmtId="165" fontId="13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43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13" fillId="31" borderId="0" xfId="0" applyFont="1" applyFill="1" applyBorder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2" fontId="13" fillId="2" borderId="0" xfId="0" applyNumberFormat="1" applyFont="1" applyFill="1" applyBorder="1" applyAlignment="1">
      <alignment horizontal="center" vertical="center"/>
    </xf>
    <xf numFmtId="10" fontId="13" fillId="2" borderId="0" xfId="17" applyNumberFormat="1" applyFont="1" applyFill="1" applyBorder="1" applyAlignment="1">
      <alignment horizontal="center" vertical="center"/>
    </xf>
    <xf numFmtId="10" fontId="13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0" fontId="13" fillId="2" borderId="0" xfId="17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9" fontId="13" fillId="2" borderId="0" xfId="0" applyNumberFormat="1" applyFont="1" applyFill="1" applyAlignment="1">
      <alignment vertical="center"/>
    </xf>
    <xf numFmtId="10" fontId="9" fillId="2" borderId="0" xfId="17" applyNumberFormat="1" applyFont="1" applyFill="1" applyBorder="1" applyAlignment="1">
      <alignment vertical="center"/>
    </xf>
    <xf numFmtId="43" fontId="9" fillId="2" borderId="0" xfId="0" applyNumberFormat="1" applyFont="1" applyFill="1" applyBorder="1" applyAlignment="1">
      <alignment vertical="center"/>
    </xf>
    <xf numFmtId="43" fontId="18" fillId="8" borderId="30" xfId="0" applyNumberFormat="1" applyFont="1" applyFill="1" applyBorder="1" applyAlignment="1">
      <alignment horizontal="center"/>
    </xf>
    <xf numFmtId="172" fontId="18" fillId="8" borderId="30" xfId="0" applyNumberFormat="1" applyFont="1" applyFill="1" applyBorder="1" applyAlignment="1">
      <alignment horizontal="center"/>
    </xf>
    <xf numFmtId="43" fontId="18" fillId="8" borderId="31" xfId="0" applyNumberFormat="1" applyFont="1" applyFill="1" applyBorder="1" applyAlignment="1">
      <alignment horizontal="center"/>
    </xf>
    <xf numFmtId="43" fontId="18" fillId="8" borderId="75" xfId="0" applyNumberFormat="1" applyFont="1" applyFill="1" applyBorder="1" applyAlignment="1">
      <alignment horizontal="center"/>
    </xf>
    <xf numFmtId="172" fontId="18" fillId="8" borderId="75" xfId="0" applyNumberFormat="1" applyFont="1" applyFill="1" applyBorder="1" applyAlignment="1">
      <alignment horizontal="center"/>
    </xf>
    <xf numFmtId="43" fontId="18" fillId="8" borderId="82" xfId="0" applyNumberFormat="1" applyFont="1" applyFill="1" applyBorder="1" applyAlignment="1">
      <alignment horizontal="center"/>
    </xf>
    <xf numFmtId="43" fontId="18" fillId="8" borderId="77" xfId="0" applyNumberFormat="1" applyFont="1" applyFill="1" applyBorder="1" applyAlignment="1">
      <alignment horizontal="center"/>
    </xf>
    <xf numFmtId="172" fontId="18" fillId="8" borderId="77" xfId="0" applyNumberFormat="1" applyFont="1" applyFill="1" applyBorder="1" applyAlignment="1">
      <alignment horizontal="center"/>
    </xf>
    <xf numFmtId="43" fontId="18" fillId="8" borderId="78" xfId="0" applyNumberFormat="1" applyFont="1" applyFill="1" applyBorder="1" applyAlignment="1">
      <alignment horizontal="center"/>
    </xf>
    <xf numFmtId="43" fontId="51" fillId="2" borderId="0" xfId="0" applyNumberFormat="1" applyFont="1" applyFill="1" applyBorder="1" applyAlignment="1">
      <alignment vertical="center"/>
    </xf>
    <xf numFmtId="3" fontId="13" fillId="0" borderId="93" xfId="0" applyNumberFormat="1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24" fillId="9" borderId="19" xfId="0" applyFont="1" applyFill="1" applyBorder="1" applyAlignment="1">
      <alignment vertical="center"/>
    </xf>
    <xf numFmtId="0" fontId="44" fillId="23" borderId="19" xfId="0" applyFont="1" applyFill="1" applyBorder="1" applyAlignment="1">
      <alignment horizontal="left" vertical="center"/>
    </xf>
    <xf numFmtId="0" fontId="19" fillId="10" borderId="120" xfId="0" applyFont="1" applyFill="1" applyBorder="1" applyAlignment="1">
      <alignment horizontal="center" vertical="center"/>
    </xf>
    <xf numFmtId="1" fontId="19" fillId="8" borderId="70" xfId="0" applyNumberFormat="1" applyFont="1" applyFill="1" applyBorder="1" applyAlignment="1">
      <alignment horizontal="center" vertical="center"/>
    </xf>
    <xf numFmtId="10" fontId="6" fillId="2" borderId="0" xfId="17" applyNumberFormat="1" applyFont="1" applyFill="1" applyBorder="1" applyAlignment="1">
      <alignment horizontal="center" vertical="center"/>
    </xf>
    <xf numFmtId="0" fontId="6" fillId="2" borderId="0" xfId="17" applyNumberFormat="1" applyFont="1" applyFill="1" applyBorder="1" applyAlignment="1">
      <alignment horizontal="center" vertical="center"/>
    </xf>
    <xf numFmtId="10" fontId="6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/>
    </xf>
    <xf numFmtId="2" fontId="13" fillId="2" borderId="112" xfId="0" applyNumberFormat="1" applyFont="1" applyFill="1" applyBorder="1" applyAlignment="1">
      <alignment horizontal="center" vertical="center"/>
    </xf>
    <xf numFmtId="2" fontId="13" fillId="8" borderId="112" xfId="13" applyNumberFormat="1" applyFont="1" applyFill="1" applyBorder="1" applyAlignment="1">
      <alignment horizontal="center" vertical="center"/>
    </xf>
    <xf numFmtId="2" fontId="13" fillId="8" borderId="115" xfId="13" applyNumberFormat="1" applyFont="1" applyFill="1" applyBorder="1" applyAlignment="1">
      <alignment horizontal="center" vertical="center"/>
    </xf>
    <xf numFmtId="2" fontId="13" fillId="2" borderId="77" xfId="0" applyNumberFormat="1" applyFont="1" applyFill="1" applyBorder="1" applyAlignment="1">
      <alignment horizontal="center" vertical="center"/>
    </xf>
    <xf numFmtId="2" fontId="13" fillId="8" borderId="77" xfId="13" applyNumberFormat="1" applyFont="1" applyFill="1" applyBorder="1" applyAlignment="1">
      <alignment horizontal="center" vertical="center"/>
    </xf>
    <xf numFmtId="2" fontId="13" fillId="8" borderId="78" xfId="13" applyNumberFormat="1" applyFont="1" applyFill="1" applyBorder="1" applyAlignment="1">
      <alignment horizontal="center" vertical="center"/>
    </xf>
    <xf numFmtId="0" fontId="27" fillId="16" borderId="121" xfId="0" applyFont="1" applyFill="1" applyBorder="1" applyAlignment="1">
      <alignment horizontal="center" vertical="center" wrapText="1"/>
    </xf>
    <xf numFmtId="0" fontId="27" fillId="13" borderId="122" xfId="0" applyFont="1" applyFill="1" applyBorder="1" applyAlignment="1">
      <alignment horizontal="center"/>
    </xf>
    <xf numFmtId="0" fontId="27" fillId="14" borderId="42" xfId="0" applyFont="1" applyFill="1" applyBorder="1" applyAlignment="1">
      <alignment vertical="center"/>
    </xf>
    <xf numFmtId="3" fontId="27" fillId="16" borderId="121" xfId="0" applyNumberFormat="1" applyFont="1" applyFill="1" applyBorder="1" applyAlignment="1">
      <alignment horizontal="center" vertical="center" wrapText="1"/>
    </xf>
    <xf numFmtId="165" fontId="30" fillId="19" borderId="121" xfId="13" applyNumberFormat="1" applyFont="1" applyFill="1" applyBorder="1" applyAlignment="1">
      <alignment horizontal="center" vertical="center"/>
    </xf>
    <xf numFmtId="165" fontId="30" fillId="2" borderId="70" xfId="13" applyNumberFormat="1" applyFont="1" applyFill="1" applyBorder="1" applyAlignment="1">
      <alignment horizontal="center" vertical="center"/>
    </xf>
    <xf numFmtId="0" fontId="19" fillId="14" borderId="124" xfId="0" applyFont="1" applyFill="1" applyBorder="1" applyAlignment="1">
      <alignment vertical="center"/>
    </xf>
    <xf numFmtId="0" fontId="27" fillId="13" borderId="125" xfId="0" applyFont="1" applyFill="1" applyBorder="1" applyAlignment="1">
      <alignment horizontal="center"/>
    </xf>
    <xf numFmtId="0" fontId="27" fillId="16" borderId="11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6" fillId="7" borderId="8" xfId="0" applyFont="1" applyFill="1" applyBorder="1"/>
    <xf numFmtId="0" fontId="6" fillId="7" borderId="98" xfId="0" applyFont="1" applyFill="1" applyBorder="1"/>
    <xf numFmtId="3" fontId="6" fillId="2" borderId="38" xfId="0" applyNumberFormat="1" applyFont="1" applyFill="1" applyBorder="1" applyAlignment="1">
      <alignment horizontal="center" vertical="center"/>
    </xf>
    <xf numFmtId="0" fontId="6" fillId="8" borderId="112" xfId="0" applyFont="1" applyFill="1" applyBorder="1" applyAlignment="1">
      <alignment horizontal="center" vertical="center"/>
    </xf>
    <xf numFmtId="2" fontId="6" fillId="8" borderId="112" xfId="0" applyNumberFormat="1" applyFont="1" applyFill="1" applyBorder="1" applyAlignment="1">
      <alignment horizontal="center" vertical="center"/>
    </xf>
    <xf numFmtId="169" fontId="6" fillId="8" borderId="112" xfId="0" applyNumberFormat="1" applyFont="1" applyFill="1" applyBorder="1" applyAlignment="1">
      <alignment horizontal="center" vertical="center"/>
    </xf>
    <xf numFmtId="4" fontId="6" fillId="8" borderId="112" xfId="0" applyNumberFormat="1" applyFont="1" applyFill="1" applyBorder="1" applyAlignment="1">
      <alignment horizontal="center" vertical="center"/>
    </xf>
    <xf numFmtId="3" fontId="6" fillId="2" borderId="112" xfId="0" applyNumberFormat="1" applyFont="1" applyFill="1" applyBorder="1" applyAlignment="1">
      <alignment horizontal="center" vertical="center" wrapText="1"/>
    </xf>
    <xf numFmtId="0" fontId="6" fillId="8" borderId="112" xfId="0" applyFont="1" applyFill="1" applyBorder="1" applyAlignment="1">
      <alignment horizontal="center" vertical="center" wrapText="1"/>
    </xf>
    <xf numFmtId="3" fontId="6" fillId="2" borderId="112" xfId="0" applyNumberFormat="1" applyFont="1" applyFill="1" applyBorder="1" applyAlignment="1">
      <alignment horizontal="center" vertical="center"/>
    </xf>
    <xf numFmtId="4" fontId="6" fillId="8" borderId="127" xfId="0" applyNumberFormat="1" applyFont="1" applyFill="1" applyBorder="1" applyAlignment="1">
      <alignment horizontal="center" vertical="center"/>
    </xf>
    <xf numFmtId="0" fontId="6" fillId="8" borderId="103" xfId="0" applyFont="1" applyFill="1" applyBorder="1" applyAlignment="1">
      <alignment horizontal="center" vertical="center"/>
    </xf>
    <xf numFmtId="169" fontId="6" fillId="8" borderId="103" xfId="0" applyNumberFormat="1" applyFont="1" applyFill="1" applyBorder="1" applyAlignment="1">
      <alignment horizontal="center" vertical="center"/>
    </xf>
    <xf numFmtId="3" fontId="6" fillId="2" borderId="129" xfId="0" applyNumberFormat="1" applyFont="1" applyFill="1" applyBorder="1" applyAlignment="1">
      <alignment horizontal="center" vertical="center" wrapText="1"/>
    </xf>
    <xf numFmtId="0" fontId="6" fillId="8" borderId="129" xfId="0" applyFont="1" applyFill="1" applyBorder="1" applyAlignment="1">
      <alignment horizontal="center" vertical="center" wrapText="1"/>
    </xf>
    <xf numFmtId="0" fontId="6" fillId="8" borderId="104" xfId="0" applyFont="1" applyFill="1" applyBorder="1" applyAlignment="1">
      <alignment horizontal="center" vertical="center"/>
    </xf>
    <xf numFmtId="169" fontId="6" fillId="8" borderId="104" xfId="0" applyNumberFormat="1" applyFont="1" applyFill="1" applyBorder="1" applyAlignment="1">
      <alignment horizontal="center" vertical="center"/>
    </xf>
    <xf numFmtId="4" fontId="6" fillId="8" borderId="129" xfId="0" applyNumberFormat="1" applyFont="1" applyFill="1" applyBorder="1" applyAlignment="1">
      <alignment horizontal="center" vertical="center"/>
    </xf>
    <xf numFmtId="0" fontId="6" fillId="8" borderId="131" xfId="0" applyFont="1" applyFill="1" applyBorder="1" applyAlignment="1">
      <alignment horizontal="center" vertical="center"/>
    </xf>
    <xf numFmtId="2" fontId="6" fillId="8" borderId="131" xfId="0" applyNumberFormat="1" applyFont="1" applyFill="1" applyBorder="1" applyAlignment="1">
      <alignment horizontal="center" vertical="center"/>
    </xf>
    <xf numFmtId="169" fontId="6" fillId="8" borderId="131" xfId="0" applyNumberFormat="1" applyFont="1" applyFill="1" applyBorder="1" applyAlignment="1">
      <alignment horizontal="center" vertical="center"/>
    </xf>
    <xf numFmtId="4" fontId="6" fillId="8" borderId="131" xfId="0" applyNumberFormat="1" applyFont="1" applyFill="1" applyBorder="1" applyAlignment="1">
      <alignment horizontal="center" vertical="center"/>
    </xf>
    <xf numFmtId="3" fontId="6" fillId="2" borderId="131" xfId="0" applyNumberFormat="1" applyFont="1" applyFill="1" applyBorder="1" applyAlignment="1">
      <alignment horizontal="center" vertical="center" wrapText="1"/>
    </xf>
    <xf numFmtId="0" fontId="6" fillId="8" borderId="131" xfId="0" applyFont="1" applyFill="1" applyBorder="1" applyAlignment="1">
      <alignment horizontal="center" vertical="center" wrapText="1"/>
    </xf>
    <xf numFmtId="3" fontId="6" fillId="2" borderId="131" xfId="0" applyNumberFormat="1" applyFont="1" applyFill="1" applyBorder="1" applyAlignment="1">
      <alignment horizontal="center" vertical="center"/>
    </xf>
    <xf numFmtId="3" fontId="6" fillId="8" borderId="136" xfId="0" applyNumberFormat="1" applyFont="1" applyFill="1" applyBorder="1" applyAlignment="1">
      <alignment horizontal="center" vertical="center" wrapText="1"/>
    </xf>
    <xf numFmtId="3" fontId="6" fillId="8" borderId="129" xfId="0" applyNumberFormat="1" applyFont="1" applyFill="1" applyBorder="1" applyAlignment="1">
      <alignment horizontal="center" vertical="center" wrapText="1"/>
    </xf>
    <xf numFmtId="165" fontId="30" fillId="18" borderId="0" xfId="14" applyNumberFormat="1" applyFont="1" applyFill="1" applyAlignment="1">
      <alignment horizontal="right"/>
    </xf>
    <xf numFmtId="168" fontId="37" fillId="33" borderId="0" xfId="14" applyNumberFormat="1" applyFont="1" applyFill="1" applyBorder="1" applyAlignment="1">
      <alignment horizontal="center"/>
    </xf>
    <xf numFmtId="168" fontId="44" fillId="33" borderId="0" xfId="14" applyNumberFormat="1" applyFont="1" applyFill="1" applyBorder="1" applyAlignment="1">
      <alignment horizontal="center"/>
    </xf>
    <xf numFmtId="165" fontId="37" fillId="33" borderId="0" xfId="14" applyNumberFormat="1" applyFont="1" applyFill="1" applyBorder="1" applyAlignment="1">
      <alignment horizontal="right"/>
    </xf>
    <xf numFmtId="165" fontId="30" fillId="18" borderId="0" xfId="14" applyNumberFormat="1" applyFont="1" applyFill="1" applyBorder="1" applyAlignment="1">
      <alignment horizontal="right"/>
    </xf>
    <xf numFmtId="165" fontId="18" fillId="12" borderId="131" xfId="14" applyNumberFormat="1" applyFont="1" applyFill="1" applyBorder="1" applyAlignment="1">
      <alignment horizontal="center"/>
    </xf>
    <xf numFmtId="1" fontId="30" fillId="12" borderId="131" xfId="14" applyNumberFormat="1" applyFont="1" applyFill="1" applyBorder="1" applyAlignment="1">
      <alignment horizontal="center" vertical="center" wrapText="1"/>
    </xf>
    <xf numFmtId="1" fontId="18" fillId="12" borderId="131" xfId="14" applyNumberFormat="1" applyFont="1" applyFill="1" applyBorder="1" applyAlignment="1">
      <alignment horizontal="center"/>
    </xf>
    <xf numFmtId="1" fontId="30" fillId="12" borderId="131" xfId="14" applyNumberFormat="1" applyFont="1" applyFill="1" applyBorder="1" applyAlignment="1">
      <alignment horizontal="center"/>
    </xf>
    <xf numFmtId="1" fontId="30" fillId="12" borderId="131" xfId="15" applyNumberFormat="1" applyFont="1" applyFill="1" applyBorder="1" applyAlignment="1">
      <alignment horizontal="center"/>
    </xf>
    <xf numFmtId="165" fontId="30" fillId="17" borderId="131" xfId="14" applyNumberFormat="1" applyFont="1" applyFill="1" applyBorder="1" applyAlignment="1">
      <alignment horizontal="right"/>
    </xf>
    <xf numFmtId="2" fontId="30" fillId="17" borderId="131" xfId="14" applyNumberFormat="1" applyFont="1" applyFill="1" applyBorder="1" applyAlignment="1">
      <alignment horizontal="right"/>
    </xf>
    <xf numFmtId="2" fontId="30" fillId="17" borderId="137" xfId="14" applyNumberFormat="1" applyFont="1" applyFill="1" applyBorder="1" applyAlignment="1">
      <alignment horizontal="right"/>
    </xf>
    <xf numFmtId="1" fontId="18" fillId="12" borderId="131" xfId="14" applyNumberFormat="1" applyFont="1" applyFill="1" applyBorder="1" applyAlignment="1">
      <alignment horizontal="center" vertical="center"/>
    </xf>
    <xf numFmtId="1" fontId="30" fillId="12" borderId="131" xfId="14" applyNumberFormat="1" applyFont="1" applyFill="1" applyBorder="1" applyAlignment="1">
      <alignment horizontal="center" vertical="center"/>
    </xf>
    <xf numFmtId="1" fontId="30" fillId="12" borderId="131" xfId="15" applyNumberFormat="1" applyFont="1" applyFill="1" applyBorder="1" applyAlignment="1">
      <alignment horizontal="center" vertical="center"/>
    </xf>
    <xf numFmtId="165" fontId="30" fillId="17" borderId="131" xfId="14" applyNumberFormat="1" applyFont="1" applyFill="1" applyBorder="1" applyAlignment="1">
      <alignment vertical="center"/>
    </xf>
    <xf numFmtId="2" fontId="30" fillId="17" borderId="131" xfId="14" applyNumberFormat="1" applyFont="1" applyFill="1" applyBorder="1" applyAlignment="1">
      <alignment vertical="center"/>
    </xf>
    <xf numFmtId="2" fontId="30" fillId="17" borderId="137" xfId="14" applyNumberFormat="1" applyFont="1" applyFill="1" applyBorder="1" applyAlignment="1">
      <alignment vertical="center"/>
    </xf>
    <xf numFmtId="165" fontId="37" fillId="22" borderId="131" xfId="14" applyNumberFormat="1" applyFont="1" applyFill="1" applyBorder="1" applyAlignment="1">
      <alignment horizontal="right" vertical="center"/>
    </xf>
    <xf numFmtId="1" fontId="11" fillId="2" borderId="131" xfId="0" applyNumberFormat="1" applyFont="1" applyFill="1" applyBorder="1" applyAlignment="1">
      <alignment horizontal="center" vertical="center"/>
    </xf>
    <xf numFmtId="1" fontId="30" fillId="12" borderId="129" xfId="14" applyNumberFormat="1" applyFont="1" applyFill="1" applyBorder="1" applyAlignment="1">
      <alignment horizontal="center" vertical="center" wrapText="1"/>
    </xf>
    <xf numFmtId="1" fontId="18" fillId="12" borderId="129" xfId="14" applyNumberFormat="1" applyFont="1" applyFill="1" applyBorder="1" applyAlignment="1">
      <alignment horizontal="center"/>
    </xf>
    <xf numFmtId="1" fontId="30" fillId="12" borderId="129" xfId="14" applyNumberFormat="1" applyFont="1" applyFill="1" applyBorder="1" applyAlignment="1">
      <alignment horizontal="center"/>
    </xf>
    <xf numFmtId="1" fontId="30" fillId="12" borderId="129" xfId="15" applyNumberFormat="1" applyFont="1" applyFill="1" applyBorder="1" applyAlignment="1">
      <alignment horizontal="center"/>
    </xf>
    <xf numFmtId="165" fontId="30" fillId="17" borderId="129" xfId="14" applyNumberFormat="1" applyFont="1" applyFill="1" applyBorder="1" applyAlignment="1">
      <alignment horizontal="right"/>
    </xf>
    <xf numFmtId="165" fontId="18" fillId="12" borderId="129" xfId="14" applyNumberFormat="1" applyFont="1" applyFill="1" applyBorder="1" applyAlignment="1">
      <alignment horizontal="center"/>
    </xf>
    <xf numFmtId="2" fontId="30" fillId="17" borderId="129" xfId="14" applyNumberFormat="1" applyFont="1" applyFill="1" applyBorder="1" applyAlignment="1">
      <alignment horizontal="right"/>
    </xf>
    <xf numFmtId="2" fontId="30" fillId="17" borderId="130" xfId="14" applyNumberFormat="1" applyFont="1" applyFill="1" applyBorder="1" applyAlignment="1">
      <alignment horizontal="right"/>
    </xf>
    <xf numFmtId="165" fontId="18" fillId="12" borderId="131" xfId="14" applyNumberFormat="1" applyFont="1" applyFill="1" applyBorder="1" applyAlignment="1">
      <alignment horizontal="center" vertical="center"/>
    </xf>
    <xf numFmtId="165" fontId="18" fillId="12" borderId="129" xfId="14" applyNumberFormat="1" applyFont="1" applyFill="1" applyBorder="1" applyAlignment="1">
      <alignment horizontal="center" vertical="center"/>
    </xf>
    <xf numFmtId="165" fontId="44" fillId="21" borderId="29" xfId="14" applyNumberFormat="1" applyFont="1" applyFill="1" applyBorder="1" applyAlignment="1">
      <alignment horizontal="center" vertical="center" wrapText="1"/>
    </xf>
    <xf numFmtId="165" fontId="44" fillId="21" borderId="30" xfId="14" applyNumberFormat="1" applyFont="1" applyFill="1" applyBorder="1" applyAlignment="1">
      <alignment horizontal="center" vertical="center" wrapText="1"/>
    </xf>
    <xf numFmtId="165" fontId="44" fillId="21" borderId="31" xfId="14" applyNumberFormat="1" applyFont="1" applyFill="1" applyBorder="1" applyAlignment="1">
      <alignment horizontal="center" vertical="center" wrapText="1"/>
    </xf>
    <xf numFmtId="0" fontId="44" fillId="22" borderId="135" xfId="14" applyFont="1" applyFill="1" applyBorder="1" applyAlignment="1">
      <alignment horizontal="center" vertical="center"/>
    </xf>
    <xf numFmtId="165" fontId="18" fillId="18" borderId="0" xfId="14" applyNumberFormat="1" applyFont="1" applyFill="1" applyBorder="1" applyAlignment="1">
      <alignment horizontal="right"/>
    </xf>
    <xf numFmtId="165" fontId="44" fillId="33" borderId="0" xfId="14" applyNumberFormat="1" applyFont="1" applyFill="1" applyBorder="1" applyAlignment="1">
      <alignment horizontal="center" vertical="center" wrapText="1"/>
    </xf>
    <xf numFmtId="0" fontId="44" fillId="33" borderId="0" xfId="14" applyNumberFormat="1" applyFont="1" applyFill="1" applyBorder="1" applyAlignment="1">
      <alignment horizontal="center" vertical="center" wrapText="1"/>
    </xf>
    <xf numFmtId="165" fontId="44" fillId="24" borderId="8" xfId="14" applyNumberFormat="1" applyFont="1" applyFill="1" applyBorder="1" applyAlignment="1">
      <alignment horizontal="left"/>
    </xf>
    <xf numFmtId="165" fontId="44" fillId="24" borderId="9" xfId="14" applyNumberFormat="1" applyFont="1" applyFill="1" applyBorder="1" applyAlignment="1">
      <alignment horizontal="left"/>
    </xf>
    <xf numFmtId="3" fontId="18" fillId="18" borderId="131" xfId="15" applyNumberFormat="1" applyFont="1" applyFill="1" applyBorder="1" applyAlignment="1">
      <alignment horizontal="center" vertical="center"/>
    </xf>
    <xf numFmtId="2" fontId="30" fillId="18" borderId="131" xfId="14" applyNumberFormat="1" applyFont="1" applyFill="1" applyBorder="1" applyAlignment="1">
      <alignment horizontal="center" vertical="center"/>
    </xf>
    <xf numFmtId="2" fontId="13" fillId="2" borderId="137" xfId="0" applyNumberFormat="1" applyFont="1" applyFill="1" applyBorder="1" applyAlignment="1">
      <alignment horizontal="center" vertical="center"/>
    </xf>
    <xf numFmtId="2" fontId="30" fillId="18" borderId="136" xfId="14" applyNumberFormat="1" applyFont="1" applyFill="1" applyBorder="1" applyAlignment="1">
      <alignment horizontal="center" vertical="center"/>
    </xf>
    <xf numFmtId="2" fontId="37" fillId="2" borderId="134" xfId="14" applyNumberFormat="1" applyFont="1" applyFill="1" applyBorder="1" applyAlignment="1">
      <alignment horizontal="center" vertical="center"/>
    </xf>
    <xf numFmtId="165" fontId="44" fillId="34" borderId="24" xfId="14" applyNumberFormat="1" applyFont="1" applyFill="1" applyBorder="1" applyAlignment="1"/>
    <xf numFmtId="165" fontId="44" fillId="34" borderId="25" xfId="14" applyNumberFormat="1" applyFont="1" applyFill="1" applyBorder="1" applyAlignment="1"/>
    <xf numFmtId="2" fontId="37" fillId="34" borderId="135" xfId="14" applyNumberFormat="1" applyFont="1" applyFill="1" applyBorder="1" applyAlignment="1">
      <alignment horizontal="center" vertical="center"/>
    </xf>
    <xf numFmtId="2" fontId="37" fillId="34" borderId="133" xfId="14" applyNumberFormat="1" applyFont="1" applyFill="1" applyBorder="1" applyAlignment="1">
      <alignment horizontal="center" vertical="center"/>
    </xf>
    <xf numFmtId="2" fontId="37" fillId="34" borderId="23" xfId="14" applyNumberFormat="1" applyFont="1" applyFill="1" applyBorder="1" applyAlignment="1">
      <alignment horizontal="center" vertical="center"/>
    </xf>
    <xf numFmtId="2" fontId="30" fillId="17" borderId="30" xfId="14" applyNumberFormat="1" applyFont="1" applyFill="1" applyBorder="1" applyAlignment="1">
      <alignment horizontal="center"/>
    </xf>
    <xf numFmtId="2" fontId="30" fillId="17" borderId="131" xfId="14" applyNumberFormat="1" applyFont="1" applyFill="1" applyBorder="1" applyAlignment="1">
      <alignment horizontal="center"/>
    </xf>
    <xf numFmtId="2" fontId="30" fillId="17" borderId="131" xfId="14" applyNumberFormat="1" applyFont="1" applyFill="1" applyBorder="1" applyAlignment="1">
      <alignment horizontal="center" vertical="center"/>
    </xf>
    <xf numFmtId="2" fontId="30" fillId="17" borderId="129" xfId="14" applyNumberFormat="1" applyFont="1" applyFill="1" applyBorder="1" applyAlignment="1">
      <alignment horizontal="center"/>
    </xf>
    <xf numFmtId="2" fontId="30" fillId="17" borderId="31" xfId="14" applyNumberFormat="1" applyFont="1" applyFill="1" applyBorder="1" applyAlignment="1">
      <alignment horizontal="center"/>
    </xf>
    <xf numFmtId="2" fontId="30" fillId="17" borderId="137" xfId="14" applyNumberFormat="1" applyFont="1" applyFill="1" applyBorder="1" applyAlignment="1">
      <alignment horizontal="center"/>
    </xf>
    <xf numFmtId="2" fontId="30" fillId="17" borderId="137" xfId="14" applyNumberFormat="1" applyFont="1" applyFill="1" applyBorder="1" applyAlignment="1">
      <alignment horizontal="center" vertical="center"/>
    </xf>
    <xf numFmtId="2" fontId="30" fillId="17" borderId="130" xfId="14" applyNumberFormat="1" applyFont="1" applyFill="1" applyBorder="1" applyAlignment="1">
      <alignment horizontal="center"/>
    </xf>
    <xf numFmtId="165" fontId="37" fillId="21" borderId="61" xfId="14" applyNumberFormat="1" applyFont="1" applyFill="1" applyBorder="1" applyAlignment="1">
      <alignment horizontal="center"/>
    </xf>
    <xf numFmtId="165" fontId="37" fillId="21" borderId="62" xfId="14" applyNumberFormat="1" applyFont="1" applyFill="1" applyBorder="1" applyAlignment="1">
      <alignment horizontal="center"/>
    </xf>
    <xf numFmtId="1" fontId="18" fillId="12" borderId="131" xfId="15" applyNumberFormat="1" applyFont="1" applyFill="1" applyBorder="1" applyAlignment="1">
      <alignment horizontal="center"/>
    </xf>
    <xf numFmtId="2" fontId="49" fillId="8" borderId="138" xfId="0" applyNumberFormat="1" applyFont="1" applyFill="1" applyBorder="1" applyAlignment="1">
      <alignment horizontal="center" vertical="center"/>
    </xf>
    <xf numFmtId="2" fontId="44" fillId="8" borderId="114" xfId="0" applyNumberFormat="1" applyFont="1" applyFill="1" applyBorder="1" applyAlignment="1">
      <alignment horizontal="center" vertical="center"/>
    </xf>
    <xf numFmtId="2" fontId="44" fillId="8" borderId="7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6" fillId="10" borderId="29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4" fontId="44" fillId="0" borderId="0" xfId="5" applyNumberFormat="1" applyFont="1" applyFill="1" applyBorder="1" applyAlignment="1">
      <alignment horizontal="center"/>
    </xf>
    <xf numFmtId="2" fontId="49" fillId="8" borderId="84" xfId="0" applyNumberFormat="1" applyFont="1" applyFill="1" applyBorder="1" applyAlignment="1">
      <alignment horizontal="center" vertical="center" wrapText="1"/>
    </xf>
    <xf numFmtId="1" fontId="48" fillId="8" borderId="91" xfId="0" applyNumberFormat="1" applyFont="1" applyFill="1" applyBorder="1" applyAlignment="1">
      <alignment horizontal="center" vertical="center"/>
    </xf>
    <xf numFmtId="1" fontId="49" fillId="8" borderId="63" xfId="0" applyNumberFormat="1" applyFont="1" applyFill="1" applyBorder="1" applyAlignment="1">
      <alignment horizontal="center" vertical="center"/>
    </xf>
    <xf numFmtId="0" fontId="49" fillId="8" borderId="91" xfId="0" applyFont="1" applyFill="1" applyBorder="1" applyAlignment="1">
      <alignment horizontal="center" vertical="center" wrapText="1"/>
    </xf>
    <xf numFmtId="1" fontId="49" fillId="8" borderId="91" xfId="0" applyNumberFormat="1" applyFont="1" applyFill="1" applyBorder="1" applyAlignment="1">
      <alignment horizontal="center" vertical="center"/>
    </xf>
    <xf numFmtId="1" fontId="49" fillId="8" borderId="67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4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40" fillId="7" borderId="7" xfId="0" applyFont="1" applyFill="1" applyBorder="1" applyAlignment="1">
      <alignment horizontal="center" vertical="center"/>
    </xf>
    <xf numFmtId="10" fontId="5" fillId="2" borderId="0" xfId="0" applyNumberFormat="1" applyFont="1" applyFill="1" applyAlignment="1">
      <alignment vertical="center"/>
    </xf>
    <xf numFmtId="2" fontId="48" fillId="8" borderId="15" xfId="0" applyNumberFormat="1" applyFont="1" applyFill="1" applyBorder="1" applyAlignment="1">
      <alignment horizontal="center" vertical="center"/>
    </xf>
    <xf numFmtId="0" fontId="49" fillId="8" borderId="13" xfId="0" applyFont="1" applyFill="1" applyBorder="1" applyAlignment="1">
      <alignment horizontal="center" vertical="center"/>
    </xf>
    <xf numFmtId="0" fontId="49" fillId="8" borderId="67" xfId="0" applyFont="1" applyFill="1" applyBorder="1" applyAlignment="1">
      <alignment horizontal="center" vertical="center" wrapText="1"/>
    </xf>
    <xf numFmtId="0" fontId="54" fillId="7" borderId="7" xfId="0" applyFont="1" applyFill="1" applyBorder="1" applyAlignment="1">
      <alignment horizontal="center" vertical="center"/>
    </xf>
    <xf numFmtId="43" fontId="18" fillId="11" borderId="30" xfId="0" applyNumberFormat="1" applyFont="1" applyFill="1" applyBorder="1" applyAlignment="1">
      <alignment horizontal="center"/>
    </xf>
    <xf numFmtId="172" fontId="18" fillId="11" borderId="30" xfId="0" applyNumberFormat="1" applyFont="1" applyFill="1" applyBorder="1" applyAlignment="1">
      <alignment horizontal="center"/>
    </xf>
    <xf numFmtId="43" fontId="18" fillId="11" borderId="31" xfId="0" applyNumberFormat="1" applyFont="1" applyFill="1" applyBorder="1" applyAlignment="1">
      <alignment horizontal="center"/>
    </xf>
    <xf numFmtId="43" fontId="18" fillId="11" borderId="131" xfId="0" applyNumberFormat="1" applyFont="1" applyFill="1" applyBorder="1" applyAlignment="1">
      <alignment horizontal="center"/>
    </xf>
    <xf numFmtId="172" fontId="18" fillId="11" borderId="131" xfId="0" applyNumberFormat="1" applyFont="1" applyFill="1" applyBorder="1" applyAlignment="1">
      <alignment horizontal="center"/>
    </xf>
    <xf numFmtId="43" fontId="18" fillId="11" borderId="137" xfId="0" applyNumberFormat="1" applyFont="1" applyFill="1" applyBorder="1" applyAlignment="1">
      <alignment horizontal="center"/>
    </xf>
    <xf numFmtId="2" fontId="67" fillId="12" borderId="0" xfId="0" applyNumberFormat="1" applyFont="1" applyFill="1"/>
    <xf numFmtId="167" fontId="67" fillId="12" borderId="0" xfId="0" applyNumberFormat="1" applyFont="1" applyFill="1"/>
    <xf numFmtId="0" fontId="68" fillId="12" borderId="0" xfId="0" applyFont="1" applyFill="1"/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67" fillId="14" borderId="43" xfId="0" applyFont="1" applyFill="1" applyBorder="1" applyAlignment="1">
      <alignment horizontal="center" vertical="center"/>
    </xf>
    <xf numFmtId="167" fontId="67" fillId="14" borderId="43" xfId="0" applyNumberFormat="1" applyFont="1" applyFill="1" applyBorder="1" applyAlignment="1">
      <alignment horizontal="center" vertical="center" wrapText="1"/>
    </xf>
    <xf numFmtId="0" fontId="67" fillId="14" borderId="44" xfId="0" applyFont="1" applyFill="1" applyBorder="1" applyAlignment="1">
      <alignment horizontal="center" vertical="center" wrapText="1"/>
    </xf>
    <xf numFmtId="0" fontId="68" fillId="32" borderId="0" xfId="0" applyFont="1" applyFill="1" applyBorder="1"/>
    <xf numFmtId="0" fontId="67" fillId="32" borderId="0" xfId="0" applyFont="1" applyFill="1" applyBorder="1" applyAlignment="1">
      <alignment vertical="center"/>
    </xf>
    <xf numFmtId="165" fontId="18" fillId="16" borderId="47" xfId="13" applyNumberFormat="1" applyFont="1" applyFill="1" applyBorder="1" applyAlignment="1">
      <alignment horizontal="center" vertical="center"/>
    </xf>
    <xf numFmtId="173" fontId="68" fillId="16" borderId="47" xfId="13" applyNumberFormat="1" applyFont="1" applyFill="1" applyBorder="1" applyAlignment="1">
      <alignment horizontal="center" vertical="center"/>
    </xf>
    <xf numFmtId="166" fontId="68" fillId="16" borderId="47" xfId="13" applyNumberFormat="1" applyFont="1" applyFill="1" applyBorder="1" applyAlignment="1">
      <alignment horizontal="center" vertical="center"/>
    </xf>
    <xf numFmtId="165" fontId="68" fillId="16" borderId="48" xfId="13" applyNumberFormat="1" applyFont="1" applyFill="1" applyBorder="1" applyAlignment="1">
      <alignment horizontal="center" vertical="center"/>
    </xf>
    <xf numFmtId="3" fontId="67" fillId="19" borderId="0" xfId="0" applyNumberFormat="1" applyFont="1" applyFill="1" applyBorder="1" applyAlignment="1">
      <alignment horizontal="center" vertical="center" wrapText="1"/>
    </xf>
    <xf numFmtId="165" fontId="18" fillId="8" borderId="112" xfId="13" applyNumberFormat="1" applyFont="1" applyFill="1" applyBorder="1" applyAlignment="1">
      <alignment horizontal="center" vertical="center"/>
    </xf>
    <xf numFmtId="165" fontId="68" fillId="16" borderId="47" xfId="13" applyNumberFormat="1" applyFont="1" applyFill="1" applyBorder="1" applyAlignment="1">
      <alignment horizontal="center" vertical="center"/>
    </xf>
    <xf numFmtId="0" fontId="67" fillId="19" borderId="0" xfId="0" applyFont="1" applyFill="1" applyBorder="1" applyAlignment="1">
      <alignment horizontal="center" vertical="center" wrapText="1"/>
    </xf>
    <xf numFmtId="165" fontId="67" fillId="13" borderId="51" xfId="13" applyNumberFormat="1" applyFont="1" applyFill="1" applyBorder="1" applyAlignment="1">
      <alignment horizontal="center" vertical="center"/>
    </xf>
    <xf numFmtId="166" fontId="67" fillId="15" borderId="51" xfId="13" applyNumberFormat="1" applyFont="1" applyFill="1" applyBorder="1" applyAlignment="1">
      <alignment horizontal="center" vertical="center"/>
    </xf>
    <xf numFmtId="165" fontId="67" fillId="13" borderId="52" xfId="13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2" fontId="18" fillId="23" borderId="19" xfId="0" applyNumberFormat="1" applyFont="1" applyFill="1" applyBorder="1" applyAlignment="1">
      <alignment horizontal="left" vertical="center"/>
    </xf>
    <xf numFmtId="0" fontId="18" fillId="23" borderId="20" xfId="0" applyFont="1" applyFill="1" applyBorder="1" applyAlignment="1">
      <alignment horizontal="left" vertical="center"/>
    </xf>
    <xf numFmtId="0" fontId="67" fillId="14" borderId="55" xfId="0" applyFont="1" applyFill="1" applyBorder="1" applyAlignment="1">
      <alignment horizontal="center" vertical="center" wrapText="1"/>
    </xf>
    <xf numFmtId="0" fontId="44" fillId="7" borderId="28" xfId="0" applyFont="1" applyFill="1" applyBorder="1" applyAlignment="1">
      <alignment horizontal="center" vertical="center" wrapText="1"/>
    </xf>
    <xf numFmtId="2" fontId="18" fillId="8" borderId="30" xfId="0" applyNumberFormat="1" applyFont="1" applyFill="1" applyBorder="1" applyAlignment="1">
      <alignment horizontal="center" vertical="center"/>
    </xf>
    <xf numFmtId="1" fontId="44" fillId="8" borderId="32" xfId="0" applyNumberFormat="1" applyFont="1" applyFill="1" applyBorder="1" applyAlignment="1">
      <alignment horizontal="center" vertical="center"/>
    </xf>
    <xf numFmtId="2" fontId="18" fillId="2" borderId="33" xfId="0" applyNumberFormat="1" applyFont="1" applyFill="1" applyBorder="1" applyAlignment="1">
      <alignment horizontal="center" vertical="center"/>
    </xf>
    <xf numFmtId="2" fontId="18" fillId="8" borderId="33" xfId="0" applyNumberFormat="1" applyFont="1" applyFill="1" applyBorder="1" applyAlignment="1">
      <alignment horizontal="center" vertical="center"/>
    </xf>
    <xf numFmtId="2" fontId="68" fillId="18" borderId="33" xfId="0" applyNumberFormat="1" applyFont="1" applyFill="1" applyBorder="1" applyAlignment="1">
      <alignment horizontal="center" vertical="center"/>
    </xf>
    <xf numFmtId="169" fontId="68" fillId="16" borderId="33" xfId="13" applyNumberFormat="1" applyFont="1" applyFill="1" applyBorder="1" applyAlignment="1">
      <alignment horizontal="center" vertical="center"/>
    </xf>
    <xf numFmtId="2" fontId="18" fillId="8" borderId="34" xfId="13" applyNumberFormat="1" applyFont="1" applyFill="1" applyBorder="1" applyAlignment="1">
      <alignment horizontal="center" vertical="center"/>
    </xf>
    <xf numFmtId="1" fontId="44" fillId="8" borderId="35" xfId="0" applyNumberFormat="1" applyFont="1" applyFill="1" applyBorder="1" applyAlignment="1">
      <alignment horizontal="center" vertical="center"/>
    </xf>
    <xf numFmtId="2" fontId="18" fillId="2" borderId="36" xfId="0" applyNumberFormat="1" applyFont="1" applyFill="1" applyBorder="1" applyAlignment="1">
      <alignment horizontal="center" vertical="center"/>
    </xf>
    <xf numFmtId="2" fontId="18" fillId="8" borderId="36" xfId="0" applyNumberFormat="1" applyFont="1" applyFill="1" applyBorder="1" applyAlignment="1">
      <alignment horizontal="center" vertical="center"/>
    </xf>
    <xf numFmtId="169" fontId="68" fillId="16" borderId="36" xfId="13" applyNumberFormat="1" applyFont="1" applyFill="1" applyBorder="1" applyAlignment="1">
      <alignment horizontal="center" vertical="center"/>
    </xf>
    <xf numFmtId="2" fontId="18" fillId="8" borderId="37" xfId="13" applyNumberFormat="1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44" fillId="7" borderId="126" xfId="0" applyFont="1" applyFill="1" applyBorder="1" applyAlignment="1">
      <alignment horizontal="center" vertical="center" wrapText="1"/>
    </xf>
    <xf numFmtId="4" fontId="27" fillId="12" borderId="0" xfId="0" applyNumberFormat="1" applyFont="1" applyFill="1"/>
    <xf numFmtId="0" fontId="4" fillId="8" borderId="11" xfId="0" applyFont="1" applyFill="1" applyBorder="1" applyAlignment="1">
      <alignment vertical="center" wrapText="1"/>
    </xf>
    <xf numFmtId="0" fontId="4" fillId="8" borderId="13" xfId="0" applyFont="1" applyFill="1" applyBorder="1" applyAlignment="1">
      <alignment vertical="center" wrapText="1"/>
    </xf>
    <xf numFmtId="0" fontId="4" fillId="8" borderId="15" xfId="0" applyFont="1" applyFill="1" applyBorder="1" applyAlignment="1">
      <alignment vertical="center" wrapText="1"/>
    </xf>
    <xf numFmtId="0" fontId="4" fillId="8" borderId="17" xfId="0" applyFont="1" applyFill="1" applyBorder="1" applyAlignment="1">
      <alignment vertical="center" wrapText="1"/>
    </xf>
    <xf numFmtId="1" fontId="19" fillId="10" borderId="140" xfId="0" applyNumberFormat="1" applyFont="1" applyFill="1" applyBorder="1" applyAlignment="1">
      <alignment horizontal="center" vertical="center" wrapText="1"/>
    </xf>
    <xf numFmtId="3" fontId="18" fillId="18" borderId="137" xfId="15" applyNumberFormat="1" applyFont="1" applyFill="1" applyBorder="1" applyAlignment="1">
      <alignment horizontal="center" vertical="center"/>
    </xf>
    <xf numFmtId="1" fontId="19" fillId="10" borderId="139" xfId="0" applyNumberFormat="1" applyFont="1" applyFill="1" applyBorder="1" applyAlignment="1">
      <alignment horizontal="center" vertical="center" wrapText="1"/>
    </xf>
    <xf numFmtId="1" fontId="19" fillId="10" borderId="68" xfId="0" applyNumberFormat="1" applyFont="1" applyFill="1" applyBorder="1" applyAlignment="1">
      <alignment horizontal="center" vertical="center" wrapText="1"/>
    </xf>
    <xf numFmtId="2" fontId="37" fillId="34" borderId="24" xfId="14" applyNumberFormat="1" applyFont="1" applyFill="1" applyBorder="1" applyAlignment="1">
      <alignment horizontal="center" vertical="center"/>
    </xf>
    <xf numFmtId="1" fontId="19" fillId="7" borderId="142" xfId="0" applyNumberFormat="1" applyFont="1" applyFill="1" applyBorder="1" applyAlignment="1">
      <alignment horizontal="center" vertical="center"/>
    </xf>
    <xf numFmtId="1" fontId="19" fillId="7" borderId="144" xfId="0" applyNumberFormat="1" applyFont="1" applyFill="1" applyBorder="1" applyAlignment="1">
      <alignment horizontal="center" vertical="center"/>
    </xf>
    <xf numFmtId="1" fontId="19" fillId="7" borderId="145" xfId="0" applyNumberFormat="1" applyFont="1" applyFill="1" applyBorder="1" applyAlignment="1">
      <alignment horizontal="center" vertical="center"/>
    </xf>
    <xf numFmtId="2" fontId="18" fillId="8" borderId="29" xfId="0" applyNumberFormat="1" applyFont="1" applyFill="1" applyBorder="1" applyAlignment="1">
      <alignment horizontal="center" vertical="center"/>
    </xf>
    <xf numFmtId="2" fontId="18" fillId="8" borderId="31" xfId="0" applyNumberFormat="1" applyFont="1" applyFill="1" applyBorder="1" applyAlignment="1">
      <alignment horizontal="center" vertical="center"/>
    </xf>
    <xf numFmtId="2" fontId="18" fillId="8" borderId="146" xfId="0" applyNumberFormat="1" applyFont="1" applyFill="1" applyBorder="1" applyAlignment="1">
      <alignment horizontal="center" vertical="center"/>
    </xf>
    <xf numFmtId="2" fontId="18" fillId="8" borderId="141" xfId="0" applyNumberFormat="1" applyFont="1" applyFill="1" applyBorder="1" applyAlignment="1">
      <alignment horizontal="center" vertical="center"/>
    </xf>
    <xf numFmtId="2" fontId="18" fillId="8" borderId="147" xfId="0" applyNumberFormat="1" applyFont="1" applyFill="1" applyBorder="1" applyAlignment="1">
      <alignment horizontal="center" vertical="center"/>
    </xf>
    <xf numFmtId="2" fontId="18" fillId="8" borderId="148" xfId="0" applyNumberFormat="1" applyFont="1" applyFill="1" applyBorder="1" applyAlignment="1">
      <alignment horizontal="center" vertical="center"/>
    </xf>
    <xf numFmtId="2" fontId="18" fillId="8" borderId="136" xfId="0" applyNumberFormat="1" applyFont="1" applyFill="1" applyBorder="1" applyAlignment="1">
      <alignment horizontal="center" vertical="center"/>
    </xf>
    <xf numFmtId="2" fontId="18" fillId="8" borderId="143" xfId="0" applyNumberFormat="1" applyFont="1" applyFill="1" applyBorder="1" applyAlignment="1">
      <alignment horizontal="center" vertical="center"/>
    </xf>
    <xf numFmtId="2" fontId="18" fillId="8" borderId="149" xfId="0" applyNumberFormat="1" applyFont="1" applyFill="1" applyBorder="1" applyAlignment="1">
      <alignment horizontal="center" vertical="center"/>
    </xf>
    <xf numFmtId="2" fontId="18" fillId="8" borderId="68" xfId="0" applyNumberFormat="1" applyFont="1" applyFill="1" applyBorder="1" applyAlignment="1">
      <alignment horizontal="center" vertical="center"/>
    </xf>
    <xf numFmtId="2" fontId="18" fillId="8" borderId="139" xfId="0" applyNumberFormat="1" applyFont="1" applyFill="1" applyBorder="1" applyAlignment="1">
      <alignment horizontal="center" vertical="center"/>
    </xf>
    <xf numFmtId="2" fontId="44" fillId="21" borderId="61" xfId="14" applyNumberFormat="1" applyFont="1" applyFill="1" applyBorder="1" applyAlignment="1">
      <alignment horizontal="center" vertical="center"/>
    </xf>
    <xf numFmtId="2" fontId="44" fillId="21" borderId="62" xfId="14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169" fontId="49" fillId="8" borderId="91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2" fontId="44" fillId="8" borderId="148" xfId="0" applyNumberFormat="1" applyFont="1" applyFill="1" applyBorder="1" applyAlignment="1">
      <alignment horizontal="center" vertical="center"/>
    </xf>
    <xf numFmtId="2" fontId="13" fillId="2" borderId="136" xfId="0" applyNumberFormat="1" applyFont="1" applyFill="1" applyBorder="1" applyAlignment="1">
      <alignment horizontal="center" vertical="center"/>
    </xf>
    <xf numFmtId="2" fontId="13" fillId="8" borderId="136" xfId="13" applyNumberFormat="1" applyFont="1" applyFill="1" applyBorder="1" applyAlignment="1">
      <alignment horizontal="center" vertical="center"/>
    </xf>
    <xf numFmtId="2" fontId="13" fillId="8" borderId="143" xfId="13" applyNumberFormat="1" applyFont="1" applyFill="1" applyBorder="1" applyAlignment="1">
      <alignment horizontal="center" vertical="center"/>
    </xf>
    <xf numFmtId="0" fontId="28" fillId="30" borderId="150" xfId="0" applyFont="1" applyFill="1" applyBorder="1"/>
    <xf numFmtId="0" fontId="27" fillId="30" borderId="151" xfId="0" applyFont="1" applyFill="1" applyBorder="1" applyAlignment="1">
      <alignment horizontal="left" vertical="center" wrapText="1"/>
    </xf>
    <xf numFmtId="0" fontId="27" fillId="30" borderId="83" xfId="0" applyFont="1" applyFill="1" applyBorder="1" applyAlignment="1">
      <alignment horizontal="left" vertical="center" wrapText="1"/>
    </xf>
    <xf numFmtId="0" fontId="27" fillId="28" borderId="152" xfId="0" applyFont="1" applyFill="1" applyBorder="1" applyAlignment="1">
      <alignment horizontal="left" vertical="center" wrapText="1"/>
    </xf>
    <xf numFmtId="43" fontId="19" fillId="0" borderId="0" xfId="0" applyNumberFormat="1" applyFont="1" applyFill="1" applyBorder="1"/>
    <xf numFmtId="0" fontId="19" fillId="0" borderId="0" xfId="0" applyFont="1" applyFill="1" applyBorder="1"/>
    <xf numFmtId="0" fontId="27" fillId="0" borderId="0" xfId="0" applyFont="1" applyFill="1" applyBorder="1" applyAlignment="1">
      <alignment wrapText="1"/>
    </xf>
    <xf numFmtId="2" fontId="13" fillId="0" borderId="0" xfId="0" applyNumberFormat="1" applyFont="1" applyFill="1" applyBorder="1" applyAlignment="1">
      <alignment horizontal="center" vertical="center"/>
    </xf>
    <xf numFmtId="43" fontId="13" fillId="0" borderId="0" xfId="0" applyNumberFormat="1" applyFont="1" applyFill="1" applyBorder="1" applyAlignment="1">
      <alignment horizontal="center" vertical="center"/>
    </xf>
    <xf numFmtId="0" fontId="27" fillId="30" borderId="153" xfId="0" applyFont="1" applyFill="1" applyBorder="1" applyAlignment="1">
      <alignment horizontal="center" vertical="center"/>
    </xf>
    <xf numFmtId="0" fontId="27" fillId="30" borderId="150" xfId="0" applyFont="1" applyFill="1" applyBorder="1" applyAlignment="1">
      <alignment horizontal="center" vertical="center"/>
    </xf>
    <xf numFmtId="4" fontId="68" fillId="29" borderId="151" xfId="15" applyNumberFormat="1" applyFont="1" applyFill="1" applyBorder="1" applyAlignment="1">
      <alignment horizontal="center" vertical="center"/>
    </xf>
    <xf numFmtId="2" fontId="18" fillId="2" borderId="0" xfId="0" applyNumberFormat="1" applyFont="1" applyFill="1" applyBorder="1" applyAlignment="1">
      <alignment horizontal="center" vertical="center"/>
    </xf>
    <xf numFmtId="0" fontId="13" fillId="2" borderId="0" xfId="17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vertical="center"/>
    </xf>
    <xf numFmtId="0" fontId="51" fillId="2" borderId="0" xfId="0" applyNumberFormat="1" applyFont="1" applyFill="1" applyAlignment="1">
      <alignment vertical="center"/>
    </xf>
    <xf numFmtId="10" fontId="23" fillId="2" borderId="0" xfId="0" applyNumberFormat="1" applyFont="1" applyFill="1" applyBorder="1" applyAlignment="1">
      <alignment vertical="center"/>
    </xf>
    <xf numFmtId="172" fontId="13" fillId="2" borderId="0" xfId="0" applyNumberFormat="1" applyFont="1" applyFill="1" applyBorder="1" applyAlignment="1">
      <alignment vertical="center"/>
    </xf>
    <xf numFmtId="0" fontId="47" fillId="10" borderId="155" xfId="0" applyFont="1" applyFill="1" applyBorder="1" applyAlignment="1">
      <alignment horizontal="center" vertical="center" wrapText="1"/>
    </xf>
    <xf numFmtId="0" fontId="19" fillId="10" borderId="156" xfId="0" applyFont="1" applyFill="1" applyBorder="1" applyAlignment="1">
      <alignment horizontal="center" vertical="center" wrapText="1"/>
    </xf>
    <xf numFmtId="0" fontId="44" fillId="10" borderId="156" xfId="0" applyFont="1" applyFill="1" applyBorder="1" applyAlignment="1">
      <alignment horizontal="center" vertical="center" wrapText="1"/>
    </xf>
    <xf numFmtId="0" fontId="19" fillId="10" borderId="157" xfId="0" applyFont="1" applyFill="1" applyBorder="1" applyAlignment="1">
      <alignment horizontal="center" vertical="center" wrapText="1"/>
    </xf>
    <xf numFmtId="0" fontId="47" fillId="8" borderId="158" xfId="0" applyFont="1" applyFill="1" applyBorder="1" applyAlignment="1">
      <alignment horizontal="center" vertical="center"/>
    </xf>
    <xf numFmtId="0" fontId="5" fillId="8" borderId="159" xfId="0" applyFont="1" applyFill="1" applyBorder="1" applyAlignment="1">
      <alignment horizontal="center" vertical="center"/>
    </xf>
    <xf numFmtId="0" fontId="47" fillId="8" borderId="160" xfId="0" applyFont="1" applyFill="1" applyBorder="1" applyAlignment="1">
      <alignment horizontal="center" vertical="center"/>
    </xf>
    <xf numFmtId="0" fontId="5" fillId="8" borderId="161" xfId="0" applyFont="1" applyFill="1" applyBorder="1" applyAlignment="1">
      <alignment horizontal="center" vertical="center"/>
    </xf>
    <xf numFmtId="0" fontId="47" fillId="8" borderId="162" xfId="0" applyFont="1" applyFill="1" applyBorder="1" applyAlignment="1">
      <alignment horizontal="center" vertical="center"/>
    </xf>
    <xf numFmtId="0" fontId="48" fillId="11" borderId="163" xfId="0" applyFont="1" applyFill="1" applyBorder="1" applyAlignment="1">
      <alignment horizontal="center" vertical="center" wrapText="1"/>
    </xf>
    <xf numFmtId="2" fontId="49" fillId="8" borderId="164" xfId="0" applyNumberFormat="1" applyFont="1" applyFill="1" applyBorder="1" applyAlignment="1">
      <alignment horizontal="center" vertical="center"/>
    </xf>
    <xf numFmtId="2" fontId="49" fillId="8" borderId="163" xfId="0" applyNumberFormat="1" applyFont="1" applyFill="1" applyBorder="1" applyAlignment="1">
      <alignment horizontal="center" vertical="center"/>
    </xf>
    <xf numFmtId="0" fontId="49" fillId="8" borderId="164" xfId="0" applyFont="1" applyFill="1" applyBorder="1" applyAlignment="1">
      <alignment horizontal="center" vertical="center"/>
    </xf>
    <xf numFmtId="169" fontId="49" fillId="8" borderId="164" xfId="0" applyNumberFormat="1" applyFont="1" applyFill="1" applyBorder="1" applyAlignment="1">
      <alignment horizontal="center" vertical="center"/>
    </xf>
    <xf numFmtId="0" fontId="5" fillId="8" borderId="165" xfId="0" applyFont="1" applyFill="1" applyBorder="1" applyAlignment="1">
      <alignment horizontal="center" vertical="center" wrapText="1"/>
    </xf>
    <xf numFmtId="0" fontId="19" fillId="7" borderId="27" xfId="0" applyFont="1" applyFill="1" applyBorder="1" applyAlignment="1">
      <alignment horizontal="center" vertical="center" wrapText="1"/>
    </xf>
    <xf numFmtId="165" fontId="30" fillId="2" borderId="0" xfId="13" applyNumberFormat="1" applyFont="1" applyFill="1" applyBorder="1" applyAlignment="1">
      <alignment horizontal="center" vertical="center"/>
    </xf>
    <xf numFmtId="165" fontId="30" fillId="2" borderId="166" xfId="13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43" fontId="13" fillId="8" borderId="167" xfId="0" applyNumberFormat="1" applyFont="1" applyFill="1" applyBorder="1" applyAlignment="1">
      <alignment horizontal="center"/>
    </xf>
    <xf numFmtId="43" fontId="13" fillId="8" borderId="168" xfId="0" applyNumberFormat="1" applyFont="1" applyFill="1" applyBorder="1" applyAlignment="1">
      <alignment horizontal="center"/>
    </xf>
    <xf numFmtId="43" fontId="18" fillId="8" borderId="167" xfId="0" applyNumberFormat="1" applyFont="1" applyFill="1" applyBorder="1" applyAlignment="1">
      <alignment horizontal="center"/>
    </xf>
    <xf numFmtId="43" fontId="18" fillId="8" borderId="168" xfId="0" applyNumberFormat="1" applyFont="1" applyFill="1" applyBorder="1" applyAlignment="1">
      <alignment horizontal="center"/>
    </xf>
    <xf numFmtId="43" fontId="18" fillId="11" borderId="167" xfId="0" applyNumberFormat="1" applyFont="1" applyFill="1" applyBorder="1" applyAlignment="1">
      <alignment horizontal="center"/>
    </xf>
    <xf numFmtId="43" fontId="19" fillId="7" borderId="7" xfId="0" applyNumberFormat="1" applyFont="1" applyFill="1" applyBorder="1" applyAlignment="1">
      <alignment horizontal="center" vertical="center"/>
    </xf>
    <xf numFmtId="43" fontId="44" fillId="7" borderId="7" xfId="0" applyNumberFormat="1" applyFont="1" applyFill="1" applyBorder="1" applyAlignment="1">
      <alignment horizontal="center" vertical="center"/>
    </xf>
    <xf numFmtId="43" fontId="18" fillId="11" borderId="169" xfId="0" applyNumberFormat="1" applyFont="1" applyFill="1" applyBorder="1" applyAlignment="1">
      <alignment horizontal="center"/>
    </xf>
    <xf numFmtId="0" fontId="27" fillId="35" borderId="0" xfId="0" applyFont="1" applyFill="1" applyBorder="1" applyAlignment="1">
      <alignment wrapText="1"/>
    </xf>
    <xf numFmtId="4" fontId="27" fillId="35" borderId="0" xfId="15" applyNumberFormat="1" applyFont="1" applyFill="1" applyBorder="1" applyAlignment="1">
      <alignment horizontal="center" vertical="center"/>
    </xf>
    <xf numFmtId="4" fontId="68" fillId="29" borderId="173" xfId="15" applyNumberFormat="1" applyFont="1" applyFill="1" applyBorder="1" applyAlignment="1">
      <alignment horizontal="center" vertical="center"/>
    </xf>
    <xf numFmtId="0" fontId="27" fillId="36" borderId="18" xfId="0" applyFont="1" applyFill="1" applyBorder="1" applyAlignment="1">
      <alignment horizontal="left" vertical="center" wrapText="1"/>
    </xf>
    <xf numFmtId="4" fontId="67" fillId="36" borderId="7" xfId="15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4" fontId="27" fillId="0" borderId="0" xfId="15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4" fontId="68" fillId="29" borderId="154" xfId="15" applyNumberFormat="1" applyFont="1" applyFill="1" applyBorder="1" applyAlignment="1">
      <alignment horizontal="center" vertical="center"/>
    </xf>
    <xf numFmtId="0" fontId="67" fillId="30" borderId="86" xfId="0" applyFont="1" applyFill="1" applyBorder="1" applyAlignment="1">
      <alignment horizontal="left" vertical="center" wrapText="1"/>
    </xf>
    <xf numFmtId="0" fontId="27" fillId="30" borderId="174" xfId="0" applyFont="1" applyFill="1" applyBorder="1" applyAlignment="1">
      <alignment horizontal="left" vertical="center" wrapText="1"/>
    </xf>
    <xf numFmtId="4" fontId="68" fillId="29" borderId="175" xfId="15" applyNumberFormat="1" applyFont="1" applyFill="1" applyBorder="1" applyAlignment="1">
      <alignment horizontal="center" vertical="center"/>
    </xf>
    <xf numFmtId="4" fontId="67" fillId="36" borderId="20" xfId="15" applyNumberFormat="1" applyFont="1" applyFill="1" applyBorder="1" applyAlignment="1">
      <alignment horizontal="center" vertical="center"/>
    </xf>
    <xf numFmtId="4" fontId="28" fillId="0" borderId="0" xfId="15" applyNumberFormat="1" applyFont="1" applyFill="1" applyBorder="1" applyAlignment="1">
      <alignment horizontal="center" vertical="center"/>
    </xf>
    <xf numFmtId="4" fontId="19" fillId="0" borderId="0" xfId="0" applyNumberFormat="1" applyFont="1" applyFill="1" applyBorder="1" applyAlignment="1">
      <alignment vertical="center"/>
    </xf>
    <xf numFmtId="4" fontId="68" fillId="29" borderId="171" xfId="15" applyNumberFormat="1" applyFont="1" applyFill="1" applyBorder="1" applyAlignment="1">
      <alignment horizontal="center" vertical="center"/>
    </xf>
    <xf numFmtId="3" fontId="28" fillId="0" borderId="0" xfId="15" applyNumberFormat="1" applyFont="1" applyFill="1" applyBorder="1" applyAlignment="1">
      <alignment horizontal="center" vertical="center"/>
    </xf>
    <xf numFmtId="0" fontId="28" fillId="0" borderId="0" xfId="0" applyFont="1" applyFill="1" applyBorder="1"/>
    <xf numFmtId="0" fontId="27" fillId="0" borderId="0" xfId="0" applyFont="1" applyFill="1" applyBorder="1" applyAlignment="1">
      <alignment horizontal="center" vertical="center"/>
    </xf>
    <xf numFmtId="3" fontId="27" fillId="10" borderId="29" xfId="13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/>
    </xf>
    <xf numFmtId="0" fontId="71" fillId="0" borderId="0" xfId="0" applyFont="1"/>
    <xf numFmtId="0" fontId="71" fillId="0" borderId="0" xfId="0" applyFont="1" applyAlignment="1">
      <alignment wrapText="1"/>
    </xf>
    <xf numFmtId="0" fontId="71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71" fillId="0" borderId="167" xfId="0" applyFont="1" applyBorder="1" applyAlignment="1">
      <alignment horizontal="center" vertical="center" wrapText="1"/>
    </xf>
    <xf numFmtId="0" fontId="71" fillId="0" borderId="167" xfId="0" applyFont="1" applyBorder="1" applyAlignment="1">
      <alignment horizontal="center" vertical="center"/>
    </xf>
    <xf numFmtId="0" fontId="73" fillId="0" borderId="167" xfId="0" applyFont="1" applyBorder="1" applyAlignment="1">
      <alignment horizontal="center" vertical="center" wrapText="1"/>
    </xf>
    <xf numFmtId="2" fontId="71" fillId="0" borderId="167" xfId="0" applyNumberFormat="1" applyFont="1" applyBorder="1" applyAlignment="1">
      <alignment horizontal="center" vertical="center" wrapText="1"/>
    </xf>
    <xf numFmtId="2" fontId="71" fillId="0" borderId="0" xfId="0" applyNumberFormat="1" applyFont="1" applyAlignment="1">
      <alignment wrapText="1"/>
    </xf>
    <xf numFmtId="0" fontId="74" fillId="0" borderId="0" xfId="0" applyFont="1" applyAlignment="1">
      <alignment horizontal="center" vertical="center"/>
    </xf>
    <xf numFmtId="0" fontId="74" fillId="37" borderId="0" xfId="0" applyFont="1" applyFill="1" applyBorder="1" applyAlignment="1">
      <alignment horizontal="center" vertical="center" wrapText="1"/>
    </xf>
    <xf numFmtId="0" fontId="74" fillId="0" borderId="167" xfId="0" applyFont="1" applyBorder="1" applyAlignment="1">
      <alignment horizontal="center" vertical="center"/>
    </xf>
    <xf numFmtId="0" fontId="74" fillId="37" borderId="167" xfId="0" applyFont="1" applyFill="1" applyBorder="1" applyAlignment="1">
      <alignment horizontal="center" vertical="center" wrapText="1"/>
    </xf>
    <xf numFmtId="0" fontId="74" fillId="0" borderId="167" xfId="0" applyFont="1" applyBorder="1" applyAlignment="1">
      <alignment horizontal="center" vertical="center" wrapText="1"/>
    </xf>
    <xf numFmtId="0" fontId="74" fillId="0" borderId="169" xfId="0" applyFont="1" applyBorder="1" applyAlignment="1">
      <alignment horizontal="center" vertical="center" wrapText="1"/>
    </xf>
    <xf numFmtId="0" fontId="74" fillId="0" borderId="38" xfId="0" applyFont="1" applyBorder="1" applyAlignment="1">
      <alignment horizontal="center" vertical="center"/>
    </xf>
    <xf numFmtId="2" fontId="74" fillId="0" borderId="167" xfId="0" applyNumberFormat="1" applyFont="1" applyBorder="1" applyAlignment="1">
      <alignment horizontal="center" vertical="center" wrapText="1"/>
    </xf>
    <xf numFmtId="0" fontId="74" fillId="0" borderId="167" xfId="0" applyFont="1" applyFill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75" fillId="0" borderId="167" xfId="0" applyFont="1" applyBorder="1" applyAlignment="1">
      <alignment horizontal="center" vertical="center" wrapText="1"/>
    </xf>
    <xf numFmtId="175" fontId="75" fillId="2" borderId="167" xfId="0" applyNumberFormat="1" applyFont="1" applyFill="1" applyBorder="1" applyAlignment="1">
      <alignment horizontal="center" vertical="center" wrapText="1"/>
    </xf>
    <xf numFmtId="175" fontId="74" fillId="0" borderId="167" xfId="0" applyNumberFormat="1" applyFont="1" applyBorder="1" applyAlignment="1">
      <alignment horizontal="center" vertical="center" wrapText="1"/>
    </xf>
    <xf numFmtId="1" fontId="27" fillId="10" borderId="105" xfId="13" applyNumberFormat="1" applyFont="1" applyFill="1" applyBorder="1" applyAlignment="1">
      <alignment horizontal="center" vertical="center" wrapText="1"/>
    </xf>
    <xf numFmtId="1" fontId="27" fillId="10" borderId="27" xfId="13" applyNumberFormat="1" applyFont="1" applyFill="1" applyBorder="1" applyAlignment="1">
      <alignment horizontal="center" vertical="center" wrapText="1"/>
    </xf>
    <xf numFmtId="3" fontId="27" fillId="10" borderId="128" xfId="13" applyNumberFormat="1" applyFont="1" applyFill="1" applyBorder="1" applyAlignment="1">
      <alignment horizontal="center" vertical="center" wrapText="1"/>
    </xf>
    <xf numFmtId="3" fontId="28" fillId="2" borderId="168" xfId="13" applyNumberFormat="1" applyFont="1" applyFill="1" applyBorder="1" applyAlignment="1">
      <alignment horizontal="center" vertical="center" wrapText="1"/>
    </xf>
    <xf numFmtId="3" fontId="28" fillId="2" borderId="130" xfId="13" applyNumberFormat="1" applyFont="1" applyFill="1" applyBorder="1" applyAlignment="1">
      <alignment horizontal="center" vertical="center" wrapText="1"/>
    </xf>
    <xf numFmtId="0" fontId="13" fillId="23" borderId="170" xfId="0" applyFont="1" applyFill="1" applyBorder="1" applyAlignment="1">
      <alignment vertical="center"/>
    </xf>
    <xf numFmtId="171" fontId="28" fillId="2" borderId="168" xfId="13" applyNumberFormat="1" applyFont="1" applyFill="1" applyBorder="1" applyAlignment="1">
      <alignment horizontal="center" vertical="center" wrapText="1"/>
    </xf>
    <xf numFmtId="171" fontId="28" fillId="2" borderId="130" xfId="13" applyNumberFormat="1" applyFont="1" applyFill="1" applyBorder="1" applyAlignment="1">
      <alignment horizontal="center" vertical="center" wrapText="1"/>
    </xf>
    <xf numFmtId="1" fontId="27" fillId="10" borderId="28" xfId="13" applyNumberFormat="1" applyFont="1" applyFill="1" applyBorder="1" applyAlignment="1">
      <alignment horizontal="center" vertical="center" wrapText="1"/>
    </xf>
    <xf numFmtId="0" fontId="77" fillId="38" borderId="168" xfId="0" applyFont="1" applyFill="1" applyBorder="1" applyAlignment="1">
      <alignment horizontal="right" vertical="center" wrapText="1" indent="1"/>
    </xf>
    <xf numFmtId="0" fontId="77" fillId="38" borderId="130" xfId="0" applyFont="1" applyFill="1" applyBorder="1" applyAlignment="1">
      <alignment horizontal="right" vertical="center" wrapText="1" indent="1"/>
    </xf>
    <xf numFmtId="0" fontId="76" fillId="38" borderId="168" xfId="0" applyFont="1" applyFill="1" applyBorder="1" applyAlignment="1">
      <alignment horizontal="right" vertical="center" wrapText="1" indent="1"/>
    </xf>
    <xf numFmtId="0" fontId="76" fillId="38" borderId="130" xfId="0" applyFont="1" applyFill="1" applyBorder="1" applyAlignment="1">
      <alignment horizontal="right" vertical="center" wrapText="1" indent="1"/>
    </xf>
    <xf numFmtId="2" fontId="19" fillId="0" borderId="0" xfId="13" applyNumberFormat="1" applyFont="1" applyFill="1" applyBorder="1" applyAlignment="1">
      <alignment horizontal="center" vertical="center"/>
    </xf>
    <xf numFmtId="2" fontId="13" fillId="0" borderId="0" xfId="0" applyNumberFormat="1" applyFont="1" applyFill="1" applyAlignment="1">
      <alignment horizontal="center" vertical="center"/>
    </xf>
    <xf numFmtId="2" fontId="83" fillId="12" borderId="0" xfId="0" applyNumberFormat="1" applyFont="1" applyFill="1"/>
    <xf numFmtId="167" fontId="83" fillId="12" borderId="0" xfId="0" applyNumberFormat="1" applyFont="1" applyFill="1"/>
    <xf numFmtId="0" fontId="84" fillId="12" borderId="0" xfId="0" applyFont="1" applyFill="1"/>
    <xf numFmtId="0" fontId="82" fillId="14" borderId="124" xfId="0" applyFont="1" applyFill="1" applyBorder="1" applyAlignment="1">
      <alignment vertical="center"/>
    </xf>
    <xf numFmtId="0" fontId="83" fillId="14" borderId="43" xfId="0" applyFont="1" applyFill="1" applyBorder="1" applyAlignment="1">
      <alignment horizontal="center" vertical="center"/>
    </xf>
    <xf numFmtId="167" fontId="83" fillId="14" borderId="43" xfId="0" applyNumberFormat="1" applyFont="1" applyFill="1" applyBorder="1" applyAlignment="1">
      <alignment horizontal="center" vertical="center" wrapText="1"/>
    </xf>
    <xf numFmtId="0" fontId="83" fillId="14" borderId="44" xfId="0" applyFont="1" applyFill="1" applyBorder="1" applyAlignment="1">
      <alignment horizontal="center" vertical="center" wrapText="1"/>
    </xf>
    <xf numFmtId="0" fontId="83" fillId="16" borderId="112" xfId="0" applyFont="1" applyFill="1" applyBorder="1" applyAlignment="1">
      <alignment horizontal="center" vertical="center" wrapText="1"/>
    </xf>
    <xf numFmtId="165" fontId="87" fillId="19" borderId="121" xfId="13" applyNumberFormat="1" applyFont="1" applyFill="1" applyBorder="1" applyAlignment="1">
      <alignment horizontal="center" vertical="center"/>
    </xf>
    <xf numFmtId="165" fontId="84" fillId="16" borderId="47" xfId="13" applyNumberFormat="1" applyFont="1" applyFill="1" applyBorder="1" applyAlignment="1">
      <alignment horizontal="center" vertical="center"/>
    </xf>
    <xf numFmtId="166" fontId="84" fillId="16" borderId="47" xfId="13" applyNumberFormat="1" applyFont="1" applyFill="1" applyBorder="1" applyAlignment="1">
      <alignment horizontal="center" vertical="center"/>
    </xf>
    <xf numFmtId="165" fontId="84" fillId="16" borderId="48" xfId="13" applyNumberFormat="1" applyFont="1" applyFill="1" applyBorder="1" applyAlignment="1">
      <alignment horizontal="center" vertical="center"/>
    </xf>
    <xf numFmtId="165" fontId="87" fillId="2" borderId="70" xfId="13" applyNumberFormat="1" applyFont="1" applyFill="1" applyBorder="1" applyAlignment="1">
      <alignment horizontal="center" vertical="center"/>
    </xf>
    <xf numFmtId="165" fontId="87" fillId="2" borderId="166" xfId="13" applyNumberFormat="1" applyFont="1" applyFill="1" applyBorder="1" applyAlignment="1">
      <alignment horizontal="center" vertical="center"/>
    </xf>
    <xf numFmtId="165" fontId="87" fillId="2" borderId="0" xfId="13" applyNumberFormat="1" applyFont="1" applyFill="1" applyBorder="1" applyAlignment="1">
      <alignment horizontal="center" vertical="center"/>
    </xf>
    <xf numFmtId="0" fontId="83" fillId="13" borderId="125" xfId="0" applyFont="1" applyFill="1" applyBorder="1" applyAlignment="1">
      <alignment horizontal="center"/>
    </xf>
    <xf numFmtId="165" fontId="83" fillId="13" borderId="51" xfId="13" applyNumberFormat="1" applyFont="1" applyFill="1" applyBorder="1" applyAlignment="1">
      <alignment horizontal="center" vertical="center"/>
    </xf>
    <xf numFmtId="166" fontId="83" fillId="15" borderId="51" xfId="13" applyNumberFormat="1" applyFont="1" applyFill="1" applyBorder="1" applyAlignment="1">
      <alignment horizontal="center" vertical="center"/>
    </xf>
    <xf numFmtId="165" fontId="83" fillId="13" borderId="52" xfId="13" applyNumberFormat="1" applyFont="1" applyFill="1" applyBorder="1" applyAlignment="1">
      <alignment horizontal="center" vertical="center"/>
    </xf>
    <xf numFmtId="0" fontId="87" fillId="2" borderId="0" xfId="0" applyFont="1" applyFill="1" applyAlignment="1">
      <alignment vertical="center"/>
    </xf>
    <xf numFmtId="0" fontId="82" fillId="10" borderId="23" xfId="0" applyFont="1" applyFill="1" applyBorder="1" applyAlignment="1">
      <alignment vertical="center" wrapText="1"/>
    </xf>
    <xf numFmtId="0" fontId="82" fillId="10" borderId="24" xfId="0" applyFont="1" applyFill="1" applyBorder="1" applyAlignment="1">
      <alignment horizontal="center" vertical="center" wrapText="1"/>
    </xf>
    <xf numFmtId="0" fontId="82" fillId="10" borderId="25" xfId="0" applyFont="1" applyFill="1" applyBorder="1" applyAlignment="1">
      <alignment horizontal="center" vertical="center" wrapText="1"/>
    </xf>
    <xf numFmtId="2" fontId="82" fillId="8" borderId="114" xfId="0" applyNumberFormat="1" applyFont="1" applyFill="1" applyBorder="1" applyAlignment="1">
      <alignment horizontal="center" vertical="center"/>
    </xf>
    <xf numFmtId="2" fontId="87" fillId="2" borderId="112" xfId="0" applyNumberFormat="1" applyFont="1" applyFill="1" applyBorder="1" applyAlignment="1">
      <alignment horizontal="center" vertical="center"/>
    </xf>
    <xf numFmtId="2" fontId="87" fillId="8" borderId="112" xfId="13" applyNumberFormat="1" applyFont="1" applyFill="1" applyBorder="1" applyAlignment="1">
      <alignment horizontal="center" vertical="center"/>
    </xf>
    <xf numFmtId="2" fontId="87" fillId="8" borderId="115" xfId="13" applyNumberFormat="1" applyFont="1" applyFill="1" applyBorder="1" applyAlignment="1">
      <alignment horizontal="center" vertical="center"/>
    </xf>
    <xf numFmtId="2" fontId="82" fillId="8" borderId="148" xfId="0" applyNumberFormat="1" applyFont="1" applyFill="1" applyBorder="1" applyAlignment="1">
      <alignment horizontal="center" vertical="center"/>
    </xf>
    <xf numFmtId="2" fontId="87" fillId="2" borderId="136" xfId="0" applyNumberFormat="1" applyFont="1" applyFill="1" applyBorder="1" applyAlignment="1">
      <alignment horizontal="center" vertical="center"/>
    </xf>
    <xf numFmtId="2" fontId="87" fillId="8" borderId="136" xfId="13" applyNumberFormat="1" applyFont="1" applyFill="1" applyBorder="1" applyAlignment="1">
      <alignment horizontal="center" vertical="center"/>
    </xf>
    <xf numFmtId="2" fontId="87" fillId="8" borderId="143" xfId="13" applyNumberFormat="1" applyFont="1" applyFill="1" applyBorder="1" applyAlignment="1">
      <alignment horizontal="center" vertical="center"/>
    </xf>
    <xf numFmtId="2" fontId="82" fillId="8" borderId="73" xfId="0" applyNumberFormat="1" applyFont="1" applyFill="1" applyBorder="1" applyAlignment="1">
      <alignment horizontal="center" vertical="center"/>
    </xf>
    <xf numFmtId="2" fontId="87" fillId="2" borderId="77" xfId="0" applyNumberFormat="1" applyFont="1" applyFill="1" applyBorder="1" applyAlignment="1">
      <alignment horizontal="center" vertical="center"/>
    </xf>
    <xf numFmtId="2" fontId="87" fillId="8" borderId="77" xfId="13" applyNumberFormat="1" applyFont="1" applyFill="1" applyBorder="1" applyAlignment="1">
      <alignment horizontal="center" vertical="center"/>
    </xf>
    <xf numFmtId="2" fontId="87" fillId="8" borderId="78" xfId="13" applyNumberFormat="1" applyFont="1" applyFill="1" applyBorder="1" applyAlignment="1">
      <alignment horizontal="center" vertical="center"/>
    </xf>
    <xf numFmtId="2" fontId="87" fillId="2" borderId="0" xfId="0" applyNumberFormat="1" applyFont="1" applyFill="1" applyAlignment="1">
      <alignment vertical="center"/>
    </xf>
    <xf numFmtId="2" fontId="82" fillId="10" borderId="22" xfId="13" applyNumberFormat="1" applyFont="1" applyFill="1" applyBorder="1" applyAlignment="1">
      <alignment horizontal="center" vertical="center"/>
    </xf>
    <xf numFmtId="2" fontId="87" fillId="2" borderId="0" xfId="0" applyNumberFormat="1" applyFont="1" applyFill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9" fontId="6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87" fillId="7" borderId="8" xfId="0" applyFont="1" applyFill="1" applyBorder="1"/>
    <xf numFmtId="0" fontId="87" fillId="7" borderId="98" xfId="0" applyFont="1" applyFill="1" applyBorder="1"/>
    <xf numFmtId="3" fontId="87" fillId="2" borderId="38" xfId="0" applyNumberFormat="1" applyFont="1" applyFill="1" applyBorder="1" applyAlignment="1">
      <alignment horizontal="center" vertical="center"/>
    </xf>
    <xf numFmtId="0" fontId="87" fillId="8" borderId="112" xfId="0" applyFont="1" applyFill="1" applyBorder="1" applyAlignment="1">
      <alignment horizontal="center" vertical="center"/>
    </xf>
    <xf numFmtId="2" fontId="87" fillId="8" borderId="112" xfId="0" applyNumberFormat="1" applyFont="1" applyFill="1" applyBorder="1" applyAlignment="1">
      <alignment horizontal="center" vertical="center"/>
    </xf>
    <xf numFmtId="169" fontId="87" fillId="8" borderId="112" xfId="0" applyNumberFormat="1" applyFont="1" applyFill="1" applyBorder="1" applyAlignment="1">
      <alignment horizontal="center" vertical="center"/>
    </xf>
    <xf numFmtId="0" fontId="87" fillId="8" borderId="112" xfId="0" applyFont="1" applyFill="1" applyBorder="1" applyAlignment="1">
      <alignment horizontal="center" vertical="center" wrapText="1"/>
    </xf>
    <xf numFmtId="3" fontId="87" fillId="2" borderId="112" xfId="0" applyNumberFormat="1" applyFont="1" applyFill="1" applyBorder="1" applyAlignment="1">
      <alignment horizontal="center" vertical="center" wrapText="1"/>
    </xf>
    <xf numFmtId="0" fontId="87" fillId="8" borderId="103" xfId="0" applyFont="1" applyFill="1" applyBorder="1" applyAlignment="1">
      <alignment horizontal="center" vertical="center"/>
    </xf>
    <xf numFmtId="169" fontId="87" fillId="8" borderId="103" xfId="0" applyNumberFormat="1" applyFont="1" applyFill="1" applyBorder="1" applyAlignment="1">
      <alignment horizontal="center" vertical="center"/>
    </xf>
    <xf numFmtId="3" fontId="87" fillId="2" borderId="129" xfId="0" applyNumberFormat="1" applyFont="1" applyFill="1" applyBorder="1" applyAlignment="1">
      <alignment horizontal="center" vertical="center" wrapText="1"/>
    </xf>
    <xf numFmtId="0" fontId="87" fillId="8" borderId="129" xfId="0" applyFont="1" applyFill="1" applyBorder="1" applyAlignment="1">
      <alignment horizontal="center" vertical="center" wrapText="1"/>
    </xf>
    <xf numFmtId="0" fontId="87" fillId="8" borderId="104" xfId="0" applyFont="1" applyFill="1" applyBorder="1" applyAlignment="1">
      <alignment horizontal="center" vertical="center"/>
    </xf>
    <xf numFmtId="169" fontId="87" fillId="8" borderId="104" xfId="0" applyNumberFormat="1" applyFont="1" applyFill="1" applyBorder="1" applyAlignment="1">
      <alignment horizontal="center" vertical="center"/>
    </xf>
    <xf numFmtId="0" fontId="82" fillId="25" borderId="81" xfId="0" applyFont="1" applyFill="1" applyBorder="1" applyAlignment="1">
      <alignment horizontal="left" vertical="center" wrapText="1"/>
    </xf>
    <xf numFmtId="165" fontId="82" fillId="25" borderId="143" xfId="16" applyNumberFormat="1" applyFont="1" applyFill="1" applyBorder="1" applyAlignment="1">
      <alignment horizontal="left"/>
    </xf>
    <xf numFmtId="0" fontId="89" fillId="7" borderId="21" xfId="0" applyFont="1" applyFill="1" applyBorder="1" applyAlignment="1">
      <alignment horizontal="center" vertical="center" wrapText="1"/>
    </xf>
    <xf numFmtId="0" fontId="82" fillId="7" borderId="24" xfId="0" applyFont="1" applyFill="1" applyBorder="1" applyAlignment="1">
      <alignment horizontal="center" vertical="center" wrapText="1"/>
    </xf>
    <xf numFmtId="0" fontId="82" fillId="7" borderId="24" xfId="0" applyFont="1" applyFill="1" applyBorder="1" applyAlignment="1">
      <alignment horizontal="center" wrapText="1"/>
    </xf>
    <xf numFmtId="0" fontId="82" fillId="7" borderId="25" xfId="0" applyFont="1" applyFill="1" applyBorder="1" applyAlignment="1">
      <alignment horizontal="center" vertical="center"/>
    </xf>
    <xf numFmtId="43" fontId="87" fillId="8" borderId="69" xfId="0" applyNumberFormat="1" applyFont="1" applyFill="1" applyBorder="1" applyAlignment="1">
      <alignment horizontal="center"/>
    </xf>
    <xf numFmtId="43" fontId="87" fillId="8" borderId="38" xfId="0" applyNumberFormat="1" applyFont="1" applyFill="1" applyBorder="1" applyAlignment="1">
      <alignment horizontal="center"/>
    </xf>
    <xf numFmtId="172" fontId="87" fillId="8" borderId="38" xfId="0" applyNumberFormat="1" applyFont="1" applyFill="1" applyBorder="1" applyAlignment="1">
      <alignment horizontal="center"/>
    </xf>
    <xf numFmtId="43" fontId="87" fillId="8" borderId="39" xfId="0" applyNumberFormat="1" applyFont="1" applyFill="1" applyBorder="1" applyAlignment="1">
      <alignment horizontal="center"/>
    </xf>
    <xf numFmtId="43" fontId="87" fillId="8" borderId="70" xfId="0" applyNumberFormat="1" applyFont="1" applyFill="1" applyBorder="1" applyAlignment="1">
      <alignment horizontal="center"/>
    </xf>
    <xf numFmtId="43" fontId="87" fillId="8" borderId="167" xfId="0" applyNumberFormat="1" applyFont="1" applyFill="1" applyBorder="1" applyAlignment="1">
      <alignment horizontal="center"/>
    </xf>
    <xf numFmtId="172" fontId="87" fillId="8" borderId="167" xfId="0" applyNumberFormat="1" applyFont="1" applyFill="1" applyBorder="1" applyAlignment="1">
      <alignment horizontal="center"/>
    </xf>
    <xf numFmtId="43" fontId="87" fillId="8" borderId="147" xfId="0" applyNumberFormat="1" applyFont="1" applyFill="1" applyBorder="1" applyAlignment="1">
      <alignment horizontal="center"/>
    </xf>
    <xf numFmtId="43" fontId="87" fillId="8" borderId="79" xfId="0" applyNumberFormat="1" applyFont="1" applyFill="1" applyBorder="1" applyAlignment="1">
      <alignment horizontal="center"/>
    </xf>
    <xf numFmtId="43" fontId="87" fillId="8" borderId="168" xfId="0" applyNumberFormat="1" applyFont="1" applyFill="1" applyBorder="1" applyAlignment="1">
      <alignment horizontal="center"/>
    </xf>
    <xf numFmtId="172" fontId="87" fillId="8" borderId="168" xfId="0" applyNumberFormat="1" applyFont="1" applyFill="1" applyBorder="1" applyAlignment="1">
      <alignment horizontal="center"/>
    </xf>
    <xf numFmtId="43" fontId="87" fillId="8" borderId="130" xfId="0" applyNumberFormat="1" applyFont="1" applyFill="1" applyBorder="1" applyAlignment="1">
      <alignment horizontal="center"/>
    </xf>
    <xf numFmtId="43" fontId="82" fillId="7" borderId="22" xfId="0" applyNumberFormat="1" applyFont="1" applyFill="1" applyBorder="1" applyAlignment="1">
      <alignment horizontal="center" vertical="center"/>
    </xf>
    <xf numFmtId="0" fontId="87" fillId="2" borderId="0" xfId="0" applyFont="1" applyFill="1" applyAlignment="1">
      <alignment horizontal="center"/>
    </xf>
    <xf numFmtId="43" fontId="18" fillId="11" borderId="178" xfId="0" applyNumberFormat="1" applyFont="1" applyFill="1" applyBorder="1" applyAlignment="1">
      <alignment horizontal="center"/>
    </xf>
    <xf numFmtId="43" fontId="44" fillId="7" borderId="74" xfId="0" applyNumberFormat="1" applyFont="1" applyFill="1" applyBorder="1" applyAlignment="1">
      <alignment horizontal="center" vertical="center"/>
    </xf>
    <xf numFmtId="0" fontId="67" fillId="14" borderId="179" xfId="0" applyFont="1" applyFill="1" applyBorder="1" applyAlignment="1">
      <alignment vertical="center" wrapText="1"/>
    </xf>
    <xf numFmtId="43" fontId="19" fillId="0" borderId="0" xfId="0" applyNumberFormat="1" applyFont="1" applyFill="1" applyBorder="1" applyAlignment="1">
      <alignment horizontal="center" vertical="center"/>
    </xf>
    <xf numFmtId="43" fontId="13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3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 wrapText="1"/>
    </xf>
    <xf numFmtId="43" fontId="5" fillId="11" borderId="179" xfId="0" applyNumberFormat="1" applyFont="1" applyFill="1" applyBorder="1" applyAlignment="1">
      <alignment horizontal="center"/>
    </xf>
    <xf numFmtId="43" fontId="18" fillId="11" borderId="180" xfId="0" applyNumberFormat="1" applyFont="1" applyFill="1" applyBorder="1" applyAlignment="1">
      <alignment horizontal="center"/>
    </xf>
    <xf numFmtId="43" fontId="5" fillId="11" borderId="180" xfId="0" applyNumberFormat="1" applyFont="1" applyFill="1" applyBorder="1" applyAlignment="1">
      <alignment horizontal="center"/>
    </xf>
    <xf numFmtId="10" fontId="5" fillId="8" borderId="182" xfId="0" applyNumberFormat="1" applyFont="1" applyFill="1" applyBorder="1" applyAlignment="1">
      <alignment horizontal="center" vertical="center"/>
    </xf>
    <xf numFmtId="10" fontId="5" fillId="8" borderId="180" xfId="0" applyNumberFormat="1" applyFont="1" applyFill="1" applyBorder="1" applyAlignment="1">
      <alignment horizontal="center" vertical="center"/>
    </xf>
    <xf numFmtId="10" fontId="5" fillId="8" borderId="183" xfId="0" applyNumberFormat="1" applyFont="1" applyFill="1" applyBorder="1" applyAlignment="1">
      <alignment horizontal="center" vertical="center"/>
    </xf>
    <xf numFmtId="43" fontId="18" fillId="11" borderId="185" xfId="0" applyNumberFormat="1" applyFont="1" applyFill="1" applyBorder="1" applyAlignment="1">
      <alignment horizontal="center"/>
    </xf>
    <xf numFmtId="43" fontId="5" fillId="11" borderId="185" xfId="0" applyNumberFormat="1" applyFont="1" applyFill="1" applyBorder="1" applyAlignment="1">
      <alignment horizontal="center"/>
    </xf>
    <xf numFmtId="43" fontId="5" fillId="11" borderId="186" xfId="0" applyNumberFormat="1" applyFont="1" applyFill="1" applyBorder="1" applyAlignment="1">
      <alignment horizontal="center"/>
    </xf>
    <xf numFmtId="0" fontId="19" fillId="7" borderId="170" xfId="0" applyFont="1" applyFill="1" applyBorder="1" applyAlignment="1">
      <alignment horizontal="center" wrapText="1"/>
    </xf>
    <xf numFmtId="172" fontId="5" fillId="11" borderId="177" xfId="0" applyNumberFormat="1" applyFont="1" applyFill="1" applyBorder="1" applyAlignment="1">
      <alignment horizontal="center"/>
    </xf>
    <xf numFmtId="172" fontId="18" fillId="11" borderId="176" xfId="0" applyNumberFormat="1" applyFont="1" applyFill="1" applyBorder="1" applyAlignment="1">
      <alignment horizontal="center"/>
    </xf>
    <xf numFmtId="172" fontId="5" fillId="11" borderId="176" xfId="0" applyNumberFormat="1" applyFont="1" applyFill="1" applyBorder="1" applyAlignment="1">
      <alignment horizontal="center"/>
    </xf>
    <xf numFmtId="0" fontId="19" fillId="7" borderId="21" xfId="0" applyFont="1" applyFill="1" applyBorder="1" applyAlignment="1">
      <alignment horizontal="center" vertical="center"/>
    </xf>
    <xf numFmtId="43" fontId="18" fillId="11" borderId="184" xfId="0" applyNumberFormat="1" applyFont="1" applyFill="1" applyBorder="1" applyAlignment="1">
      <alignment horizontal="center"/>
    </xf>
    <xf numFmtId="0" fontId="44" fillId="7" borderId="120" xfId="0" applyFont="1" applyFill="1" applyBorder="1" applyAlignment="1">
      <alignment horizontal="center" vertical="center" wrapText="1"/>
    </xf>
    <xf numFmtId="0" fontId="44" fillId="7" borderId="24" xfId="0" applyFont="1" applyFill="1" applyBorder="1" applyAlignment="1">
      <alignment horizontal="center" wrapText="1"/>
    </xf>
    <xf numFmtId="0" fontId="44" fillId="7" borderId="2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43" fontId="5" fillId="2" borderId="0" xfId="0" applyNumberFormat="1" applyFont="1" applyFill="1" applyBorder="1" applyAlignment="1">
      <alignment vertical="center"/>
    </xf>
    <xf numFmtId="172" fontId="44" fillId="7" borderId="22" xfId="0" applyNumberFormat="1" applyFont="1" applyFill="1" applyBorder="1" applyAlignment="1">
      <alignment horizontal="center" vertical="center"/>
    </xf>
    <xf numFmtId="0" fontId="67" fillId="14" borderId="185" xfId="0" applyFont="1" applyFill="1" applyBorder="1" applyAlignment="1">
      <alignment vertical="center" wrapText="1"/>
    </xf>
    <xf numFmtId="172" fontId="18" fillId="11" borderId="188" xfId="0" applyNumberFormat="1" applyFont="1" applyFill="1" applyBorder="1" applyAlignment="1">
      <alignment horizontal="center"/>
    </xf>
    <xf numFmtId="43" fontId="18" fillId="11" borderId="189" xfId="0" applyNumberFormat="1" applyFont="1" applyFill="1" applyBorder="1" applyAlignment="1">
      <alignment horizontal="center"/>
    </xf>
    <xf numFmtId="0" fontId="67" fillId="14" borderId="183" xfId="0" applyFont="1" applyFill="1" applyBorder="1" applyAlignment="1">
      <alignment vertical="center" wrapText="1"/>
    </xf>
    <xf numFmtId="43" fontId="18" fillId="11" borderId="190" xfId="0" applyNumberFormat="1" applyFont="1" applyFill="1" applyBorder="1" applyAlignment="1">
      <alignment horizontal="center"/>
    </xf>
    <xf numFmtId="172" fontId="18" fillId="11" borderId="191" xfId="0" applyNumberFormat="1" applyFont="1" applyFill="1" applyBorder="1" applyAlignment="1">
      <alignment horizontal="center"/>
    </xf>
    <xf numFmtId="43" fontId="18" fillId="11" borderId="192" xfId="0" applyNumberFormat="1" applyFont="1" applyFill="1" applyBorder="1" applyAlignment="1">
      <alignment horizontal="center"/>
    </xf>
    <xf numFmtId="0" fontId="82" fillId="7" borderId="120" xfId="0" applyFont="1" applyFill="1" applyBorder="1" applyAlignment="1">
      <alignment horizontal="center" vertical="center"/>
    </xf>
    <xf numFmtId="10" fontId="87" fillId="2" borderId="69" xfId="17" applyNumberFormat="1" applyFont="1" applyFill="1" applyBorder="1" applyAlignment="1">
      <alignment horizontal="center" vertical="center"/>
    </xf>
    <xf numFmtId="10" fontId="87" fillId="2" borderId="184" xfId="17" applyNumberFormat="1" applyFont="1" applyFill="1" applyBorder="1" applyAlignment="1">
      <alignment horizontal="center" vertical="center"/>
    </xf>
    <xf numFmtId="10" fontId="87" fillId="2" borderId="190" xfId="17" applyNumberFormat="1" applyFont="1" applyFill="1" applyBorder="1" applyAlignment="1">
      <alignment horizontal="center" vertical="center"/>
    </xf>
    <xf numFmtId="10" fontId="82" fillId="7" borderId="179" xfId="0" applyNumberFormat="1" applyFont="1" applyFill="1" applyBorder="1" applyAlignment="1">
      <alignment horizontal="center" vertical="center" wrapText="1"/>
    </xf>
    <xf numFmtId="10" fontId="82" fillId="7" borderId="185" xfId="0" applyNumberFormat="1" applyFont="1" applyFill="1" applyBorder="1" applyAlignment="1">
      <alignment horizontal="center" vertical="center" wrapText="1"/>
    </xf>
    <xf numFmtId="10" fontId="82" fillId="7" borderId="185" xfId="0" applyNumberFormat="1" applyFont="1" applyFill="1" applyBorder="1" applyAlignment="1">
      <alignment horizontal="center" vertical="center"/>
    </xf>
    <xf numFmtId="10" fontId="82" fillId="7" borderId="183" xfId="0" applyNumberFormat="1" applyFont="1" applyFill="1" applyBorder="1" applyAlignment="1">
      <alignment horizontal="center" vertical="center" wrapText="1"/>
    </xf>
    <xf numFmtId="0" fontId="44" fillId="7" borderId="126" xfId="0" applyFont="1" applyFill="1" applyBorder="1" applyAlignment="1">
      <alignment horizontal="center" vertical="center"/>
    </xf>
    <xf numFmtId="10" fontId="18" fillId="2" borderId="193" xfId="17" applyNumberFormat="1" applyFont="1" applyFill="1" applyBorder="1" applyAlignment="1">
      <alignment horizontal="center" vertical="center"/>
    </xf>
    <xf numFmtId="10" fontId="13" fillId="2" borderId="194" xfId="17" applyNumberFormat="1" applyFont="1" applyFill="1" applyBorder="1" applyAlignment="1">
      <alignment horizontal="center" vertical="center"/>
    </xf>
    <xf numFmtId="10" fontId="13" fillId="2" borderId="195" xfId="17" applyNumberFormat="1" applyFont="1" applyFill="1" applyBorder="1" applyAlignment="1">
      <alignment horizontal="center" vertical="center"/>
    </xf>
    <xf numFmtId="10" fontId="44" fillId="7" borderId="179" xfId="0" applyNumberFormat="1" applyFont="1" applyFill="1" applyBorder="1" applyAlignment="1">
      <alignment horizontal="center" vertical="center" wrapText="1"/>
    </xf>
    <xf numFmtId="10" fontId="44" fillId="7" borderId="185" xfId="0" applyNumberFormat="1" applyFont="1" applyFill="1" applyBorder="1" applyAlignment="1">
      <alignment horizontal="center" vertical="center" wrapText="1"/>
    </xf>
    <xf numFmtId="10" fontId="44" fillId="7" borderId="185" xfId="0" applyNumberFormat="1" applyFont="1" applyFill="1" applyBorder="1" applyAlignment="1">
      <alignment horizontal="center" vertical="center"/>
    </xf>
    <xf numFmtId="10" fontId="44" fillId="7" borderId="183" xfId="0" applyNumberFormat="1" applyFont="1" applyFill="1" applyBorder="1" applyAlignment="1">
      <alignment horizontal="center" vertical="center" wrapText="1"/>
    </xf>
    <xf numFmtId="10" fontId="13" fillId="8" borderId="69" xfId="0" applyNumberFormat="1" applyFont="1" applyFill="1" applyBorder="1" applyAlignment="1">
      <alignment horizontal="center" vertical="center"/>
    </xf>
    <xf numFmtId="10" fontId="13" fillId="8" borderId="184" xfId="0" applyNumberFormat="1" applyFont="1" applyFill="1" applyBorder="1" applyAlignment="1">
      <alignment horizontal="center" vertical="center"/>
    </xf>
    <xf numFmtId="0" fontId="27" fillId="14" borderId="179" xfId="0" applyFont="1" applyFill="1" applyBorder="1" applyAlignment="1">
      <alignment horizontal="center" vertical="center" wrapText="1"/>
    </xf>
    <xf numFmtId="0" fontId="27" fillId="14" borderId="185" xfId="0" applyFont="1" applyFill="1" applyBorder="1" applyAlignment="1">
      <alignment horizontal="center" vertical="center" wrapText="1"/>
    </xf>
    <xf numFmtId="0" fontId="67" fillId="14" borderId="179" xfId="0" applyFont="1" applyFill="1" applyBorder="1" applyAlignment="1">
      <alignment horizontal="center" vertical="center" wrapText="1"/>
    </xf>
    <xf numFmtId="0" fontId="67" fillId="14" borderId="185" xfId="0" applyFont="1" applyFill="1" applyBorder="1" applyAlignment="1">
      <alignment horizontal="center" vertical="center" wrapText="1"/>
    </xf>
    <xf numFmtId="0" fontId="89" fillId="7" borderId="7" xfId="0" applyFont="1" applyFill="1" applyBorder="1" applyAlignment="1">
      <alignment horizontal="center" vertical="center" wrapText="1"/>
    </xf>
    <xf numFmtId="0" fontId="82" fillId="7" borderId="19" xfId="0" applyFont="1" applyFill="1" applyBorder="1" applyAlignment="1">
      <alignment horizontal="center" vertical="center"/>
    </xf>
    <xf numFmtId="0" fontId="82" fillId="7" borderId="7" xfId="0" applyFont="1" applyFill="1" applyBorder="1" applyAlignment="1">
      <alignment horizontal="center" vertical="center" wrapText="1"/>
    </xf>
    <xf numFmtId="0" fontId="82" fillId="7" borderId="19" xfId="0" applyFont="1" applyFill="1" applyBorder="1" applyAlignment="1">
      <alignment horizontal="center" wrapText="1"/>
    </xf>
    <xf numFmtId="0" fontId="82" fillId="7" borderId="7" xfId="0" applyFont="1" applyFill="1" applyBorder="1" applyAlignment="1">
      <alignment horizontal="center" vertical="center"/>
    </xf>
    <xf numFmtId="0" fontId="83" fillId="14" borderId="179" xfId="0" applyFont="1" applyFill="1" applyBorder="1" applyAlignment="1">
      <alignment horizontal="center" vertical="center" wrapText="1"/>
    </xf>
    <xf numFmtId="10" fontId="87" fillId="8" borderId="181" xfId="0" applyNumberFormat="1" applyFont="1" applyFill="1" applyBorder="1" applyAlignment="1">
      <alignment horizontal="center" vertical="center"/>
    </xf>
    <xf numFmtId="43" fontId="87" fillId="11" borderId="179" xfId="0" applyNumberFormat="1" applyFont="1" applyFill="1" applyBorder="1" applyAlignment="1">
      <alignment horizontal="center"/>
    </xf>
    <xf numFmtId="172" fontId="87" fillId="11" borderId="177" xfId="0" applyNumberFormat="1" applyFont="1" applyFill="1" applyBorder="1" applyAlignment="1">
      <alignment horizontal="center"/>
    </xf>
    <xf numFmtId="0" fontId="83" fillId="14" borderId="185" xfId="0" applyFont="1" applyFill="1" applyBorder="1" applyAlignment="1">
      <alignment horizontal="center" vertical="center" wrapText="1"/>
    </xf>
    <xf numFmtId="10" fontId="87" fillId="8" borderId="176" xfId="0" applyNumberFormat="1" applyFont="1" applyFill="1" applyBorder="1" applyAlignment="1">
      <alignment horizontal="center" vertical="center"/>
    </xf>
    <xf numFmtId="43" fontId="87" fillId="11" borderId="185" xfId="0" applyNumberFormat="1" applyFont="1" applyFill="1" applyBorder="1" applyAlignment="1">
      <alignment horizontal="center"/>
    </xf>
    <xf numFmtId="172" fontId="87" fillId="11" borderId="176" xfId="0" applyNumberFormat="1" applyFont="1" applyFill="1" applyBorder="1" applyAlignment="1">
      <alignment horizontal="center"/>
    </xf>
    <xf numFmtId="0" fontId="83" fillId="14" borderId="183" xfId="0" applyFont="1" applyFill="1" applyBorder="1" applyAlignment="1">
      <alignment horizontal="center" vertical="center" wrapText="1"/>
    </xf>
    <xf numFmtId="10" fontId="87" fillId="8" borderId="187" xfId="0" applyNumberFormat="1" applyFont="1" applyFill="1" applyBorder="1" applyAlignment="1">
      <alignment horizontal="center" vertical="center"/>
    </xf>
    <xf numFmtId="43" fontId="87" fillId="11" borderId="183" xfId="0" applyNumberFormat="1" applyFont="1" applyFill="1" applyBorder="1" applyAlignment="1">
      <alignment horizontal="center"/>
    </xf>
    <xf numFmtId="172" fontId="87" fillId="11" borderId="187" xfId="0" applyNumberFormat="1" applyFont="1" applyFill="1" applyBorder="1" applyAlignment="1">
      <alignment horizontal="center"/>
    </xf>
    <xf numFmtId="0" fontId="74" fillId="0" borderId="188" xfId="0" applyFont="1" applyBorder="1" applyAlignment="1">
      <alignment horizontal="center" vertical="center" wrapText="1"/>
    </xf>
    <xf numFmtId="2" fontId="74" fillId="0" borderId="188" xfId="0" applyNumberFormat="1" applyFont="1" applyBorder="1" applyAlignment="1">
      <alignment horizontal="center" vertical="center" wrapText="1"/>
    </xf>
    <xf numFmtId="0" fontId="91" fillId="0" borderId="188" xfId="0" applyFont="1" applyBorder="1" applyAlignment="1">
      <alignment horizontal="center" vertical="center" wrapText="1"/>
    </xf>
    <xf numFmtId="0" fontId="91" fillId="0" borderId="0" xfId="0" applyFont="1" applyAlignment="1">
      <alignment horizontal="center" vertical="center" wrapText="1"/>
    </xf>
    <xf numFmtId="2" fontId="91" fillId="0" borderId="188" xfId="0" applyNumberFormat="1" applyFont="1" applyBorder="1" applyAlignment="1">
      <alignment horizontal="center" vertical="center" wrapText="1"/>
    </xf>
    <xf numFmtId="0" fontId="71" fillId="0" borderId="188" xfId="0" applyFont="1" applyBorder="1" applyAlignment="1">
      <alignment horizontal="center" vertical="center"/>
    </xf>
    <xf numFmtId="0" fontId="74" fillId="0" borderId="188" xfId="0" applyNumberFormat="1" applyFont="1" applyBorder="1" applyAlignment="1">
      <alignment horizontal="center" vertical="center" wrapText="1"/>
    </xf>
    <xf numFmtId="2" fontId="75" fillId="2" borderId="188" xfId="0" applyNumberFormat="1" applyFont="1" applyFill="1" applyBorder="1" applyAlignment="1">
      <alignment horizontal="center" vertical="center" wrapText="1"/>
    </xf>
    <xf numFmtId="0" fontId="71" fillId="0" borderId="188" xfId="0" applyFont="1" applyBorder="1" applyAlignment="1">
      <alignment horizontal="center" vertical="center" wrapText="1"/>
    </xf>
    <xf numFmtId="0" fontId="92" fillId="0" borderId="188" xfId="0" applyFont="1" applyBorder="1" applyAlignment="1">
      <alignment horizontal="center" vertical="center"/>
    </xf>
    <xf numFmtId="0" fontId="91" fillId="0" borderId="188" xfId="0" applyFont="1" applyBorder="1" applyAlignment="1">
      <alignment horizontal="center" vertical="center"/>
    </xf>
    <xf numFmtId="0" fontId="71" fillId="2" borderId="111" xfId="0" applyFont="1" applyFill="1" applyBorder="1" applyAlignment="1">
      <alignment vertical="center"/>
    </xf>
    <xf numFmtId="0" fontId="71" fillId="2" borderId="0" xfId="0" applyFont="1" applyFill="1" applyBorder="1" applyAlignment="1">
      <alignment vertical="center"/>
    </xf>
    <xf numFmtId="0" fontId="71" fillId="2" borderId="171" xfId="0" applyFont="1" applyFill="1" applyBorder="1" applyAlignment="1">
      <alignment vertical="center"/>
    </xf>
    <xf numFmtId="0" fontId="71" fillId="2" borderId="0" xfId="0" applyFont="1" applyFill="1" applyAlignment="1">
      <alignment vertical="center"/>
    </xf>
    <xf numFmtId="0" fontId="92" fillId="7" borderId="30" xfId="0" applyFont="1" applyFill="1" applyBorder="1" applyAlignment="1">
      <alignment horizontal="center" vertical="center" wrapText="1"/>
    </xf>
    <xf numFmtId="3" fontId="95" fillId="2" borderId="188" xfId="5" applyNumberFormat="1" applyFont="1" applyFill="1" applyBorder="1" applyAlignment="1">
      <alignment horizontal="center" vertical="center"/>
    </xf>
    <xf numFmtId="3" fontId="96" fillId="7" borderId="113" xfId="5" applyNumberFormat="1" applyFont="1" applyFill="1" applyBorder="1" applyAlignment="1" applyProtection="1">
      <alignment horizontal="center"/>
      <protection locked="0"/>
    </xf>
    <xf numFmtId="4" fontId="96" fillId="7" borderId="74" xfId="5" applyNumberFormat="1" applyFont="1" applyFill="1" applyBorder="1" applyAlignment="1">
      <alignment horizontal="center"/>
    </xf>
    <xf numFmtId="0" fontId="97" fillId="2" borderId="0" xfId="4" applyFont="1" applyFill="1" applyBorder="1"/>
    <xf numFmtId="4" fontId="96" fillId="7" borderId="22" xfId="5" applyNumberFormat="1" applyFont="1" applyFill="1" applyBorder="1" applyAlignment="1">
      <alignment horizontal="center"/>
    </xf>
    <xf numFmtId="0" fontId="71" fillId="0" borderId="0" xfId="0" applyFont="1" applyFill="1" applyBorder="1" applyAlignment="1">
      <alignment vertical="center"/>
    </xf>
    <xf numFmtId="1" fontId="97" fillId="8" borderId="84" xfId="4" applyNumberFormat="1" applyFont="1" applyFill="1" applyBorder="1"/>
    <xf numFmtId="0" fontId="97" fillId="8" borderId="198" xfId="4" applyFont="1" applyFill="1" applyBorder="1"/>
    <xf numFmtId="1" fontId="97" fillId="8" borderId="118" xfId="4" applyNumberFormat="1" applyFont="1" applyFill="1" applyBorder="1"/>
    <xf numFmtId="0" fontId="97" fillId="8" borderId="119" xfId="4" applyFont="1" applyFill="1" applyBorder="1"/>
    <xf numFmtId="0" fontId="71" fillId="2" borderId="113" xfId="0" applyFont="1" applyFill="1" applyBorder="1" applyAlignment="1">
      <alignment vertical="center"/>
    </xf>
    <xf numFmtId="0" fontId="71" fillId="2" borderId="172" xfId="0" applyFont="1" applyFill="1" applyBorder="1" applyAlignment="1">
      <alignment vertical="center"/>
    </xf>
    <xf numFmtId="1" fontId="97" fillId="0" borderId="172" xfId="4" applyNumberFormat="1" applyFont="1" applyFill="1" applyBorder="1"/>
    <xf numFmtId="0" fontId="97" fillId="0" borderId="172" xfId="4" applyFont="1" applyFill="1" applyBorder="1"/>
    <xf numFmtId="0" fontId="71" fillId="2" borderId="74" xfId="0" applyFont="1" applyFill="1" applyBorder="1" applyAlignment="1">
      <alignment vertical="center"/>
    </xf>
    <xf numFmtId="1" fontId="97" fillId="0" borderId="0" xfId="4" applyNumberFormat="1" applyFont="1" applyFill="1" applyBorder="1"/>
    <xf numFmtId="0" fontId="97" fillId="0" borderId="0" xfId="4" applyFont="1" applyFill="1" applyBorder="1"/>
    <xf numFmtId="0" fontId="71" fillId="0" borderId="0" xfId="0" applyFont="1" applyFill="1" applyAlignment="1">
      <alignment vertical="center"/>
    </xf>
    <xf numFmtId="0" fontId="71" fillId="2" borderId="8" xfId="0" applyFont="1" applyFill="1" applyBorder="1" applyAlignment="1">
      <alignment vertical="center"/>
    </xf>
    <xf numFmtId="0" fontId="71" fillId="2" borderId="170" xfId="0" applyFont="1" applyFill="1" applyBorder="1" applyAlignment="1">
      <alignment vertical="center"/>
    </xf>
    <xf numFmtId="0" fontId="71" fillId="2" borderId="9" xfId="0" applyFont="1" applyFill="1" applyBorder="1" applyAlignment="1">
      <alignment vertical="center"/>
    </xf>
    <xf numFmtId="0" fontId="91" fillId="7" borderId="30" xfId="0" applyFont="1" applyFill="1" applyBorder="1" applyAlignment="1">
      <alignment horizontal="center" vertical="center" wrapText="1"/>
    </xf>
    <xf numFmtId="4" fontId="91" fillId="7" borderId="74" xfId="5" applyNumberFormat="1" applyFont="1" applyFill="1" applyBorder="1" applyAlignment="1">
      <alignment horizontal="center"/>
    </xf>
    <xf numFmtId="0" fontId="90" fillId="2" borderId="0" xfId="4" applyFont="1" applyFill="1" applyBorder="1"/>
    <xf numFmtId="4" fontId="91" fillId="7" borderId="22" xfId="5" applyNumberFormat="1" applyFont="1" applyFill="1" applyBorder="1" applyAlignment="1">
      <alignment horizontal="center"/>
    </xf>
    <xf numFmtId="1" fontId="90" fillId="8" borderId="200" xfId="4" applyNumberFormat="1" applyFont="1" applyFill="1" applyBorder="1"/>
    <xf numFmtId="0" fontId="90" fillId="8" borderId="7" xfId="4" applyFont="1" applyFill="1" applyBorder="1"/>
    <xf numFmtId="0" fontId="90" fillId="2" borderId="0" xfId="0" applyFont="1" applyFill="1" applyBorder="1" applyAlignment="1">
      <alignment vertical="center"/>
    </xf>
    <xf numFmtId="0" fontId="71" fillId="2" borderId="19" xfId="0" applyFont="1" applyFill="1" applyBorder="1" applyAlignment="1">
      <alignment vertical="center"/>
    </xf>
    <xf numFmtId="1" fontId="90" fillId="8" borderId="202" xfId="4" applyNumberFormat="1" applyFont="1" applyFill="1" applyBorder="1"/>
    <xf numFmtId="0" fontId="90" fillId="8" borderId="200" xfId="4" applyFont="1" applyFill="1" applyBorder="1"/>
    <xf numFmtId="0" fontId="71" fillId="0" borderId="170" xfId="0" applyFont="1" applyFill="1" applyBorder="1" applyAlignment="1">
      <alignment vertical="center"/>
    </xf>
    <xf numFmtId="0" fontId="71" fillId="0" borderId="9" xfId="0" applyFont="1" applyFill="1" applyBorder="1" applyAlignment="1">
      <alignment vertical="center"/>
    </xf>
    <xf numFmtId="0" fontId="95" fillId="2" borderId="0" xfId="5" applyFont="1" applyFill="1" applyBorder="1" applyAlignment="1">
      <alignment horizontal="center"/>
    </xf>
    <xf numFmtId="0" fontId="96" fillId="7" borderId="29" xfId="5" applyFont="1" applyFill="1" applyBorder="1" applyAlignment="1">
      <alignment horizontal="center" vertical="center" wrapText="1"/>
    </xf>
    <xf numFmtId="0" fontId="96" fillId="7" borderId="30" xfId="5" applyFont="1" applyFill="1" applyBorder="1" applyAlignment="1">
      <alignment horizontal="center" vertical="center" wrapText="1"/>
    </xf>
    <xf numFmtId="0" fontId="96" fillId="7" borderId="31" xfId="5" applyFont="1" applyFill="1" applyBorder="1" applyAlignment="1">
      <alignment horizontal="center" vertical="center" wrapText="1"/>
    </xf>
    <xf numFmtId="1" fontId="95" fillId="8" borderId="188" xfId="5" applyNumberFormat="1" applyFont="1" applyFill="1" applyBorder="1" applyAlignment="1">
      <alignment horizontal="center" vertical="center"/>
    </xf>
    <xf numFmtId="2" fontId="95" fillId="8" borderId="188" xfId="15" applyNumberFormat="1" applyFont="1" applyFill="1" applyBorder="1" applyAlignment="1">
      <alignment horizontal="center" vertical="center"/>
    </xf>
    <xf numFmtId="2" fontId="95" fillId="8" borderId="189" xfId="15" applyNumberFormat="1" applyFont="1" applyFill="1" applyBorder="1" applyAlignment="1">
      <alignment horizontal="center" vertical="center"/>
    </xf>
    <xf numFmtId="0" fontId="71" fillId="2" borderId="0" xfId="4" applyFont="1" applyFill="1" applyBorder="1"/>
    <xf numFmtId="2" fontId="95" fillId="0" borderId="0" xfId="15" applyNumberFormat="1" applyFont="1" applyFill="1" applyBorder="1" applyAlignment="1">
      <alignment horizontal="center" vertical="center"/>
    </xf>
    <xf numFmtId="0" fontId="90" fillId="2" borderId="0" xfId="5" applyFont="1" applyFill="1" applyBorder="1" applyAlignment="1">
      <alignment horizontal="center"/>
    </xf>
    <xf numFmtId="0" fontId="91" fillId="7" borderId="29" xfId="5" applyFont="1" applyFill="1" applyBorder="1" applyAlignment="1">
      <alignment horizontal="center" vertical="center" wrapText="1"/>
    </xf>
    <xf numFmtId="0" fontId="91" fillId="7" borderId="30" xfId="5" applyFont="1" applyFill="1" applyBorder="1" applyAlignment="1">
      <alignment horizontal="center" vertical="center" wrapText="1"/>
    </xf>
    <xf numFmtId="0" fontId="91" fillId="7" borderId="31" xfId="5" applyFont="1" applyFill="1" applyBorder="1" applyAlignment="1">
      <alignment horizontal="center" vertical="center" wrapText="1"/>
    </xf>
    <xf numFmtId="2" fontId="90" fillId="8" borderId="191" xfId="15" applyNumberFormat="1" applyFont="1" applyFill="1" applyBorder="1" applyAlignment="1">
      <alignment horizontal="center" vertical="center"/>
    </xf>
    <xf numFmtId="2" fontId="90" fillId="8" borderId="192" xfId="15" applyNumberFormat="1" applyFont="1" applyFill="1" applyBorder="1" applyAlignment="1">
      <alignment horizontal="center" vertical="center"/>
    </xf>
    <xf numFmtId="2" fontId="90" fillId="0" borderId="0" xfId="15" applyNumberFormat="1" applyFont="1" applyFill="1" applyBorder="1" applyAlignment="1">
      <alignment horizontal="center" vertical="center"/>
    </xf>
    <xf numFmtId="2" fontId="90" fillId="8" borderId="188" xfId="15" applyNumberFormat="1" applyFont="1" applyFill="1" applyBorder="1" applyAlignment="1">
      <alignment horizontal="center" vertical="center"/>
    </xf>
    <xf numFmtId="2" fontId="90" fillId="8" borderId="189" xfId="15" applyNumberFormat="1" applyFont="1" applyFill="1" applyBorder="1" applyAlignment="1">
      <alignment horizontal="center" vertical="center"/>
    </xf>
    <xf numFmtId="1" fontId="95" fillId="2" borderId="197" xfId="5" applyNumberFormat="1" applyFont="1" applyFill="1" applyBorder="1" applyAlignment="1">
      <alignment horizontal="center" vertical="center" wrapText="1"/>
    </xf>
    <xf numFmtId="3" fontId="95" fillId="0" borderId="0" xfId="5" applyNumberFormat="1" applyFont="1" applyFill="1" applyBorder="1" applyAlignment="1">
      <alignment horizontal="center" vertical="center" wrapText="1"/>
    </xf>
    <xf numFmtId="1" fontId="90" fillId="8" borderId="201" xfId="5" applyNumberFormat="1" applyFont="1" applyFill="1" applyBorder="1" applyAlignment="1">
      <alignment horizontal="center" vertical="center" wrapText="1"/>
    </xf>
    <xf numFmtId="3" fontId="91" fillId="7" borderId="113" xfId="5" applyNumberFormat="1" applyFont="1" applyFill="1" applyBorder="1" applyAlignment="1" applyProtection="1">
      <alignment horizontal="center" wrapText="1"/>
      <protection locked="0"/>
    </xf>
    <xf numFmtId="3" fontId="90" fillId="0" borderId="0" xfId="5" applyNumberFormat="1" applyFont="1" applyFill="1" applyBorder="1" applyAlignment="1">
      <alignment horizontal="center" vertical="center" wrapText="1"/>
    </xf>
    <xf numFmtId="1" fontId="90" fillId="8" borderId="188" xfId="5" applyNumberFormat="1" applyFont="1" applyFill="1" applyBorder="1" applyAlignment="1">
      <alignment horizontal="center" vertical="center" wrapText="1"/>
    </xf>
    <xf numFmtId="0" fontId="71" fillId="2" borderId="0" xfId="0" applyFont="1" applyFill="1" applyAlignment="1">
      <alignment horizontal="center"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71" fillId="0" borderId="170" xfId="0" applyFont="1" applyFill="1" applyBorder="1" applyAlignment="1">
      <alignment horizontal="center" vertical="center" wrapText="1"/>
    </xf>
    <xf numFmtId="0" fontId="71" fillId="2" borderId="0" xfId="4" applyFont="1" applyFill="1" applyBorder="1" applyAlignment="1">
      <alignment horizontal="center" wrapText="1"/>
    </xf>
    <xf numFmtId="0" fontId="98" fillId="8" borderId="116" xfId="4" applyFont="1" applyFill="1" applyBorder="1" applyAlignment="1">
      <alignment horizontal="center" wrapText="1"/>
    </xf>
    <xf numFmtId="0" fontId="98" fillId="8" borderId="117" xfId="4" applyFont="1" applyFill="1" applyBorder="1" applyAlignment="1">
      <alignment horizontal="center" wrapText="1"/>
    </xf>
    <xf numFmtId="0" fontId="98" fillId="0" borderId="172" xfId="4" applyFont="1" applyFill="1" applyBorder="1" applyAlignment="1">
      <alignment horizontal="center" wrapText="1"/>
    </xf>
    <xf numFmtId="0" fontId="98" fillId="0" borderId="0" xfId="4" applyFont="1" applyFill="1" applyBorder="1" applyAlignment="1">
      <alignment horizontal="center" wrapText="1"/>
    </xf>
    <xf numFmtId="0" fontId="71" fillId="2" borderId="170" xfId="0" applyFont="1" applyFill="1" applyBorder="1" applyAlignment="1">
      <alignment horizontal="center" vertical="center" wrapText="1"/>
    </xf>
    <xf numFmtId="0" fontId="91" fillId="8" borderId="199" xfId="4" applyFont="1" applyFill="1" applyBorder="1" applyAlignment="1">
      <alignment horizontal="center" wrapText="1"/>
    </xf>
    <xf numFmtId="0" fontId="71" fillId="2" borderId="172" xfId="0" applyFont="1" applyFill="1" applyBorder="1" applyAlignment="1">
      <alignment horizontal="center" vertical="center" wrapText="1"/>
    </xf>
    <xf numFmtId="0" fontId="71" fillId="2" borderId="0" xfId="0" applyFont="1" applyFill="1" applyBorder="1" applyAlignment="1">
      <alignment horizontal="center" vertical="center" wrapText="1"/>
    </xf>
    <xf numFmtId="0" fontId="71" fillId="2" borderId="19" xfId="0" applyFont="1" applyFill="1" applyBorder="1" applyAlignment="1">
      <alignment horizontal="center" vertical="center" wrapText="1"/>
    </xf>
    <xf numFmtId="0" fontId="27" fillId="30" borderId="203" xfId="0" applyFont="1" applyFill="1" applyBorder="1" applyAlignment="1">
      <alignment horizontal="center" vertical="center"/>
    </xf>
    <xf numFmtId="4" fontId="68" fillId="29" borderId="204" xfId="15" applyNumberFormat="1" applyFont="1" applyFill="1" applyBorder="1" applyAlignment="1">
      <alignment horizontal="center" vertical="center"/>
    </xf>
    <xf numFmtId="4" fontId="68" fillId="29" borderId="0" xfId="15" applyNumberFormat="1" applyFont="1" applyFill="1" applyBorder="1" applyAlignment="1">
      <alignment horizontal="center" vertical="center"/>
    </xf>
    <xf numFmtId="4" fontId="27" fillId="28" borderId="205" xfId="15" applyNumberFormat="1" applyFont="1" applyFill="1" applyBorder="1" applyAlignment="1">
      <alignment horizontal="center" vertical="center"/>
    </xf>
    <xf numFmtId="2" fontId="71" fillId="0" borderId="0" xfId="0" applyNumberFormat="1" applyFont="1" applyAlignment="1">
      <alignment horizontal="center" vertical="center"/>
    </xf>
    <xf numFmtId="2" fontId="71" fillId="0" borderId="188" xfId="0" applyNumberFormat="1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2" fontId="92" fillId="0" borderId="188" xfId="0" applyNumberFormat="1" applyFont="1" applyBorder="1" applyAlignment="1">
      <alignment horizontal="center" vertical="center"/>
    </xf>
    <xf numFmtId="2" fontId="74" fillId="0" borderId="169" xfId="0" applyNumberFormat="1" applyFont="1" applyBorder="1" applyAlignment="1">
      <alignment horizontal="center" vertical="center" wrapText="1"/>
    </xf>
    <xf numFmtId="0" fontId="74" fillId="0" borderId="169" xfId="0" applyNumberFormat="1" applyFont="1" applyBorder="1" applyAlignment="1">
      <alignment horizontal="center" vertical="center" wrapText="1"/>
    </xf>
    <xf numFmtId="0" fontId="102" fillId="2" borderId="0" xfId="0" applyFont="1" applyFill="1" applyAlignment="1">
      <alignment vertical="center" wrapText="1"/>
    </xf>
    <xf numFmtId="0" fontId="102" fillId="2" borderId="0" xfId="0" applyFont="1" applyFill="1" applyBorder="1" applyAlignment="1">
      <alignment vertical="center" wrapText="1"/>
    </xf>
    <xf numFmtId="0" fontId="79" fillId="30" borderId="153" xfId="0" applyFont="1" applyFill="1" applyBorder="1" applyAlignment="1">
      <alignment horizontal="center" vertical="center" wrapText="1"/>
    </xf>
    <xf numFmtId="4" fontId="80" fillId="29" borderId="154" xfId="15" applyNumberFormat="1" applyFont="1" applyFill="1" applyBorder="1" applyAlignment="1">
      <alignment horizontal="center" vertical="center" wrapText="1"/>
    </xf>
    <xf numFmtId="4" fontId="80" fillId="29" borderId="175" xfId="15" applyNumberFormat="1" applyFont="1" applyFill="1" applyBorder="1" applyAlignment="1">
      <alignment horizontal="center" vertical="center" wrapText="1"/>
    </xf>
    <xf numFmtId="4" fontId="79" fillId="36" borderId="20" xfId="15" applyNumberFormat="1" applyFont="1" applyFill="1" applyBorder="1" applyAlignment="1">
      <alignment horizontal="center" vertical="center" wrapText="1"/>
    </xf>
    <xf numFmtId="4" fontId="79" fillId="35" borderId="0" xfId="15" applyNumberFormat="1" applyFont="1" applyFill="1" applyBorder="1" applyAlignment="1">
      <alignment horizontal="center" vertical="center" wrapText="1"/>
    </xf>
    <xf numFmtId="0" fontId="81" fillId="2" borderId="0" xfId="0" applyFont="1" applyFill="1" applyAlignment="1">
      <alignment vertical="center" wrapText="1"/>
    </xf>
    <xf numFmtId="4" fontId="81" fillId="2" borderId="0" xfId="0" applyNumberFormat="1" applyFont="1" applyFill="1" applyAlignment="1">
      <alignment vertical="center" wrapText="1"/>
    </xf>
    <xf numFmtId="4" fontId="19" fillId="23" borderId="18" xfId="0" applyNumberFormat="1" applyFont="1" applyFill="1" applyBorder="1" applyAlignment="1">
      <alignment vertical="center"/>
    </xf>
    <xf numFmtId="4" fontId="19" fillId="23" borderId="20" xfId="0" applyNumberFormat="1" applyFont="1" applyFill="1" applyBorder="1" applyAlignment="1">
      <alignment horizontal="center" vertical="center"/>
    </xf>
    <xf numFmtId="0" fontId="79" fillId="30" borderId="150" xfId="0" applyFont="1" applyFill="1" applyBorder="1" applyAlignment="1">
      <alignment horizontal="center" vertical="center" wrapText="1"/>
    </xf>
    <xf numFmtId="4" fontId="80" fillId="29" borderId="151" xfId="15" applyNumberFormat="1" applyFont="1" applyFill="1" applyBorder="1" applyAlignment="1">
      <alignment horizontal="center" vertical="center"/>
    </xf>
    <xf numFmtId="4" fontId="80" fillId="29" borderId="83" xfId="15" applyNumberFormat="1" applyFont="1" applyFill="1" applyBorder="1" applyAlignment="1">
      <alignment horizontal="center" vertical="center"/>
    </xf>
    <xf numFmtId="4" fontId="27" fillId="28" borderId="206" xfId="15" applyNumberFormat="1" applyFont="1" applyFill="1" applyBorder="1" applyAlignment="1">
      <alignment horizontal="center" vertical="center"/>
    </xf>
    <xf numFmtId="4" fontId="80" fillId="29" borderId="151" xfId="15" applyNumberFormat="1" applyFont="1" applyFill="1" applyBorder="1" applyAlignment="1">
      <alignment horizontal="center" vertical="center" wrapText="1"/>
    </xf>
    <xf numFmtId="4" fontId="80" fillId="29" borderId="83" xfId="15" applyNumberFormat="1" applyFont="1" applyFill="1" applyBorder="1" applyAlignment="1">
      <alignment horizontal="center" vertical="center" wrapText="1"/>
    </xf>
    <xf numFmtId="4" fontId="79" fillId="28" borderId="152" xfId="15" applyNumberFormat="1" applyFont="1" applyFill="1" applyBorder="1" applyAlignment="1">
      <alignment horizontal="center" vertical="center" wrapText="1"/>
    </xf>
    <xf numFmtId="4" fontId="79" fillId="28" borderId="205" xfId="15" applyNumberFormat="1" applyFont="1" applyFill="1" applyBorder="1" applyAlignment="1">
      <alignment horizontal="center" vertical="center"/>
    </xf>
    <xf numFmtId="4" fontId="78" fillId="23" borderId="7" xfId="0" applyNumberFormat="1" applyFont="1" applyFill="1" applyBorder="1" applyAlignment="1">
      <alignment horizontal="center" vertical="center"/>
    </xf>
    <xf numFmtId="4" fontId="6" fillId="8" borderId="196" xfId="0" applyNumberFormat="1" applyFont="1" applyFill="1" applyBorder="1" applyAlignment="1">
      <alignment horizontal="center" vertical="center"/>
    </xf>
    <xf numFmtId="0" fontId="13" fillId="11" borderId="169" xfId="0" applyFont="1" applyFill="1" applyBorder="1" applyAlignment="1">
      <alignment vertical="center"/>
    </xf>
    <xf numFmtId="4" fontId="6" fillId="11" borderId="38" xfId="0" applyNumberFormat="1" applyFont="1" applyFill="1" applyBorder="1" applyAlignment="1">
      <alignment vertical="center"/>
    </xf>
    <xf numFmtId="4" fontId="6" fillId="11" borderId="100" xfId="0" applyNumberFormat="1" applyFont="1" applyFill="1" applyBorder="1" applyAlignment="1">
      <alignment horizontal="center" vertical="center"/>
    </xf>
    <xf numFmtId="0" fontId="13" fillId="11" borderId="169" xfId="0" applyFont="1" applyFill="1" applyBorder="1" applyAlignment="1">
      <alignment horizontal="center" vertical="center"/>
    </xf>
    <xf numFmtId="4" fontId="6" fillId="11" borderId="38" xfId="0" applyNumberFormat="1" applyFont="1" applyFill="1" applyBorder="1" applyAlignment="1">
      <alignment horizontal="center" vertical="center"/>
    </xf>
    <xf numFmtId="0" fontId="13" fillId="11" borderId="100" xfId="0" applyFont="1" applyFill="1" applyBorder="1" applyAlignment="1">
      <alignment horizontal="center" vertical="center"/>
    </xf>
    <xf numFmtId="4" fontId="6" fillId="8" borderId="100" xfId="0" applyNumberFormat="1" applyFont="1" applyFill="1" applyBorder="1" applyAlignment="1">
      <alignment horizontal="center" vertical="center"/>
    </xf>
    <xf numFmtId="4" fontId="6" fillId="8" borderId="38" xfId="0" applyNumberFormat="1" applyFont="1" applyFill="1" applyBorder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4" fontId="6" fillId="11" borderId="127" xfId="0" applyNumberFormat="1" applyFont="1" applyFill="1" applyBorder="1" applyAlignment="1">
      <alignment horizontal="center" vertical="center"/>
    </xf>
    <xf numFmtId="4" fontId="87" fillId="11" borderId="38" xfId="0" applyNumberFormat="1" applyFont="1" applyFill="1" applyBorder="1" applyAlignment="1">
      <alignment vertical="center"/>
    </xf>
    <xf numFmtId="4" fontId="87" fillId="8" borderId="196" xfId="0" applyNumberFormat="1" applyFont="1" applyFill="1" applyBorder="1" applyAlignment="1">
      <alignment horizontal="center" vertical="center"/>
    </xf>
    <xf numFmtId="4" fontId="87" fillId="8" borderId="76" xfId="0" applyNumberFormat="1" applyFont="1" applyFill="1" applyBorder="1" applyAlignment="1">
      <alignment horizontal="center" vertical="center"/>
    </xf>
    <xf numFmtId="4" fontId="87" fillId="11" borderId="100" xfId="0" applyNumberFormat="1" applyFont="1" applyFill="1" applyBorder="1" applyAlignment="1">
      <alignment horizontal="center" vertical="center"/>
    </xf>
    <xf numFmtId="4" fontId="87" fillId="8" borderId="169" xfId="0" applyNumberFormat="1" applyFont="1" applyFill="1" applyBorder="1" applyAlignment="1">
      <alignment vertical="center"/>
    </xf>
    <xf numFmtId="4" fontId="87" fillId="8" borderId="100" xfId="0" applyNumberFormat="1" applyFont="1" applyFill="1" applyBorder="1" applyAlignment="1">
      <alignment horizontal="center" vertical="center"/>
    </xf>
    <xf numFmtId="4" fontId="87" fillId="8" borderId="38" xfId="0" applyNumberFormat="1" applyFont="1" applyFill="1" applyBorder="1" applyAlignment="1">
      <alignment vertical="center"/>
    </xf>
    <xf numFmtId="4" fontId="87" fillId="11" borderId="38" xfId="0" applyNumberFormat="1" applyFont="1" applyFill="1" applyBorder="1" applyAlignment="1">
      <alignment horizontal="center" vertical="center"/>
    </xf>
    <xf numFmtId="4" fontId="6" fillId="11" borderId="169" xfId="0" applyNumberFormat="1" applyFont="1" applyFill="1" applyBorder="1" applyAlignment="1">
      <alignment horizontal="center" vertical="center"/>
    </xf>
    <xf numFmtId="3" fontId="28" fillId="8" borderId="191" xfId="13" applyNumberFormat="1" applyFont="1" applyFill="1" applyBorder="1" applyAlignment="1">
      <alignment horizontal="center" vertical="center" wrapText="1"/>
    </xf>
    <xf numFmtId="3" fontId="28" fillId="8" borderId="192" xfId="13" applyNumberFormat="1" applyFont="1" applyFill="1" applyBorder="1" applyAlignment="1">
      <alignment horizontal="center" vertical="center" wrapText="1"/>
    </xf>
    <xf numFmtId="171" fontId="28" fillId="8" borderId="191" xfId="13" applyNumberFormat="1" applyFont="1" applyFill="1" applyBorder="1" applyAlignment="1">
      <alignment horizontal="center" vertical="center" wrapText="1"/>
    </xf>
    <xf numFmtId="171" fontId="28" fillId="8" borderId="192" xfId="13" applyNumberFormat="1" applyFont="1" applyFill="1" applyBorder="1" applyAlignment="1">
      <alignment horizontal="center" vertical="center" wrapText="1"/>
    </xf>
    <xf numFmtId="0" fontId="19" fillId="23" borderId="8" xfId="0" applyFont="1" applyFill="1" applyBorder="1" applyAlignment="1">
      <alignment horizontal="center" vertical="center"/>
    </xf>
    <xf numFmtId="0" fontId="19" fillId="23" borderId="170" xfId="0" applyFont="1" applyFill="1" applyBorder="1" applyAlignment="1">
      <alignment horizontal="center" vertical="center"/>
    </xf>
    <xf numFmtId="0" fontId="19" fillId="23" borderId="9" xfId="0" applyFont="1" applyFill="1" applyBorder="1" applyAlignment="1">
      <alignment horizontal="center" vertical="center"/>
    </xf>
    <xf numFmtId="0" fontId="24" fillId="9" borderId="111" xfId="0" applyFont="1" applyFill="1" applyBorder="1" applyAlignment="1">
      <alignment horizontal="left" vertical="center"/>
    </xf>
    <xf numFmtId="0" fontId="24" fillId="9" borderId="0" xfId="0" applyFont="1" applyFill="1" applyBorder="1" applyAlignment="1">
      <alignment horizontal="left" vertical="center"/>
    </xf>
    <xf numFmtId="3" fontId="27" fillId="10" borderId="29" xfId="13" applyNumberFormat="1" applyFont="1" applyFill="1" applyBorder="1" applyAlignment="1">
      <alignment horizontal="center" vertical="center"/>
    </xf>
    <xf numFmtId="3" fontId="27" fillId="10" borderId="30" xfId="13" applyNumberFormat="1" applyFont="1" applyFill="1" applyBorder="1" applyAlignment="1">
      <alignment horizontal="center" vertical="center"/>
    </xf>
    <xf numFmtId="3" fontId="27" fillId="10" borderId="201" xfId="13" applyNumberFormat="1" applyFont="1" applyFill="1" applyBorder="1" applyAlignment="1">
      <alignment horizontal="center" vertical="center" wrapText="1"/>
    </xf>
    <xf numFmtId="3" fontId="27" fillId="10" borderId="191" xfId="13" applyNumberFormat="1" applyFont="1" applyFill="1" applyBorder="1" applyAlignment="1">
      <alignment horizontal="center" vertical="center" wrapText="1"/>
    </xf>
    <xf numFmtId="0" fontId="19" fillId="10" borderId="178" xfId="0" applyFont="1" applyFill="1" applyBorder="1" applyAlignment="1">
      <alignment horizontal="center" vertical="center"/>
    </xf>
    <xf numFmtId="0" fontId="19" fillId="10" borderId="30" xfId="0" applyFont="1" applyFill="1" applyBorder="1" applyAlignment="1">
      <alignment horizontal="center" vertical="center"/>
    </xf>
    <xf numFmtId="0" fontId="19" fillId="10" borderId="31" xfId="0" applyFont="1" applyFill="1" applyBorder="1" applyAlignment="1">
      <alignment horizontal="center" vertical="center"/>
    </xf>
    <xf numFmtId="1" fontId="19" fillId="10" borderId="79" xfId="17" applyNumberFormat="1" applyFont="1" applyFill="1" applyBorder="1" applyAlignment="1">
      <alignment horizontal="center" vertical="center"/>
    </xf>
    <xf numFmtId="1" fontId="19" fillId="10" borderId="77" xfId="17" applyNumberFormat="1" applyFont="1" applyFill="1" applyBorder="1" applyAlignment="1">
      <alignment horizontal="center" vertical="center"/>
    </xf>
    <xf numFmtId="1" fontId="19" fillId="10" borderId="78" xfId="17" applyNumberFormat="1" applyFont="1" applyFill="1" applyBorder="1" applyAlignment="1">
      <alignment horizontal="center" vertical="center"/>
    </xf>
    <xf numFmtId="170" fontId="19" fillId="10" borderId="79" xfId="17" applyNumberFormat="1" applyFont="1" applyFill="1" applyBorder="1" applyAlignment="1">
      <alignment horizontal="center" vertical="center"/>
    </xf>
    <xf numFmtId="170" fontId="19" fillId="10" borderId="77" xfId="17" applyNumberFormat="1" applyFont="1" applyFill="1" applyBorder="1" applyAlignment="1">
      <alignment horizontal="center" vertical="center"/>
    </xf>
    <xf numFmtId="170" fontId="19" fillId="10" borderId="78" xfId="17" applyNumberFormat="1" applyFont="1" applyFill="1" applyBorder="1" applyAlignment="1">
      <alignment horizontal="center" vertical="center"/>
    </xf>
    <xf numFmtId="10" fontId="19" fillId="10" borderId="79" xfId="17" applyNumberFormat="1" applyFont="1" applyFill="1" applyBorder="1" applyAlignment="1">
      <alignment horizontal="center" vertical="center"/>
    </xf>
    <xf numFmtId="10" fontId="19" fillId="10" borderId="77" xfId="17" applyNumberFormat="1" applyFont="1" applyFill="1" applyBorder="1" applyAlignment="1">
      <alignment horizontal="center" vertical="center"/>
    </xf>
    <xf numFmtId="10" fontId="19" fillId="10" borderId="78" xfId="17" applyNumberFormat="1" applyFont="1" applyFill="1" applyBorder="1" applyAlignment="1">
      <alignment horizontal="center" vertical="center"/>
    </xf>
    <xf numFmtId="0" fontId="44" fillId="23" borderId="18" xfId="0" applyFont="1" applyFill="1" applyBorder="1" applyAlignment="1">
      <alignment horizontal="center" vertical="center"/>
    </xf>
    <xf numFmtId="0" fontId="44" fillId="23" borderId="19" xfId="0" applyFont="1" applyFill="1" applyBorder="1" applyAlignment="1">
      <alignment horizontal="center" vertical="center"/>
    </xf>
    <xf numFmtId="0" fontId="44" fillId="23" borderId="20" xfId="0" applyFont="1" applyFill="1" applyBorder="1" applyAlignment="1">
      <alignment horizontal="center" vertical="center"/>
    </xf>
    <xf numFmtId="0" fontId="82" fillId="23" borderId="18" xfId="0" applyFont="1" applyFill="1" applyBorder="1" applyAlignment="1">
      <alignment horizontal="center" vertical="center"/>
    </xf>
    <xf numFmtId="0" fontId="82" fillId="23" borderId="20" xfId="0" applyFont="1" applyFill="1" applyBorder="1" applyAlignment="1">
      <alignment horizontal="center" vertical="center"/>
    </xf>
    <xf numFmtId="0" fontId="83" fillId="13" borderId="49" xfId="0" applyFont="1" applyFill="1" applyBorder="1" applyAlignment="1">
      <alignment horizontal="center"/>
    </xf>
    <xf numFmtId="0" fontId="83" fillId="13" borderId="50" xfId="0" applyFont="1" applyFill="1" applyBorder="1" applyAlignment="1">
      <alignment horizontal="center"/>
    </xf>
    <xf numFmtId="0" fontId="27" fillId="13" borderId="49" xfId="0" applyFont="1" applyFill="1" applyBorder="1" applyAlignment="1">
      <alignment horizontal="center"/>
    </xf>
    <xf numFmtId="0" fontId="27" fillId="13" borderId="50" xfId="0" applyFont="1" applyFill="1" applyBorder="1" applyAlignment="1">
      <alignment horizontal="center"/>
    </xf>
    <xf numFmtId="0" fontId="27" fillId="16" borderId="45" xfId="0" applyFont="1" applyFill="1" applyBorder="1" applyAlignment="1">
      <alignment horizontal="center" vertical="center" wrapText="1"/>
    </xf>
    <xf numFmtId="0" fontId="27" fillId="16" borderId="46" xfId="0" applyFont="1" applyFill="1" applyBorder="1" applyAlignment="1">
      <alignment horizontal="center" vertical="center" wrapText="1"/>
    </xf>
    <xf numFmtId="0" fontId="0" fillId="14" borderId="53" xfId="0" applyFill="1" applyBorder="1"/>
    <xf numFmtId="0" fontId="0" fillId="14" borderId="54" xfId="0" applyFill="1" applyBorder="1"/>
    <xf numFmtId="0" fontId="27" fillId="16" borderId="123" xfId="0" applyFont="1" applyFill="1" applyBorder="1" applyAlignment="1">
      <alignment horizontal="center" vertical="center" wrapText="1"/>
    </xf>
    <xf numFmtId="0" fontId="82" fillId="23" borderId="18" xfId="0" applyFont="1" applyFill="1" applyBorder="1" applyAlignment="1">
      <alignment horizontal="left" vertical="center"/>
    </xf>
    <xf numFmtId="0" fontId="82" fillId="23" borderId="19" xfId="0" applyFont="1" applyFill="1" applyBorder="1" applyAlignment="1">
      <alignment horizontal="left" vertical="center"/>
    </xf>
    <xf numFmtId="0" fontId="82" fillId="23" borderId="20" xfId="0" applyFont="1" applyFill="1" applyBorder="1" applyAlignment="1">
      <alignment horizontal="left" vertical="center"/>
    </xf>
    <xf numFmtId="0" fontId="85" fillId="14" borderId="53" xfId="0" applyFont="1" applyFill="1" applyBorder="1"/>
    <xf numFmtId="0" fontId="85" fillId="14" borderId="54" xfId="0" applyFont="1" applyFill="1" applyBorder="1"/>
    <xf numFmtId="0" fontId="83" fillId="16" borderId="45" xfId="0" applyFont="1" applyFill="1" applyBorder="1" applyAlignment="1">
      <alignment horizontal="center" vertical="center" wrapText="1"/>
    </xf>
    <xf numFmtId="0" fontId="83" fillId="16" borderId="123" xfId="0" applyFont="1" applyFill="1" applyBorder="1" applyAlignment="1">
      <alignment horizontal="center" vertical="center" wrapText="1"/>
    </xf>
    <xf numFmtId="0" fontId="67" fillId="19" borderId="0" xfId="0" applyFont="1" applyFill="1" applyBorder="1" applyAlignment="1">
      <alignment horizontal="center" vertical="center" wrapText="1"/>
    </xf>
    <xf numFmtId="0" fontId="67" fillId="13" borderId="49" xfId="0" applyFont="1" applyFill="1" applyBorder="1" applyAlignment="1">
      <alignment horizontal="center"/>
    </xf>
    <xf numFmtId="0" fontId="67" fillId="13" borderId="50" xfId="0" applyFont="1" applyFill="1" applyBorder="1" applyAlignment="1">
      <alignment horizontal="center"/>
    </xf>
    <xf numFmtId="0" fontId="69" fillId="14" borderId="53" xfId="0" applyFont="1" applyFill="1" applyBorder="1"/>
    <xf numFmtId="0" fontId="69" fillId="14" borderId="54" xfId="0" applyFont="1" applyFill="1" applyBorder="1"/>
    <xf numFmtId="0" fontId="67" fillId="16" borderId="45" xfId="0" applyFont="1" applyFill="1" applyBorder="1" applyAlignment="1">
      <alignment horizontal="center" vertical="center" wrapText="1"/>
    </xf>
    <xf numFmtId="0" fontId="67" fillId="16" borderId="46" xfId="0" applyFont="1" applyFill="1" applyBorder="1" applyAlignment="1">
      <alignment horizontal="center" vertical="center" wrapText="1"/>
    </xf>
    <xf numFmtId="0" fontId="82" fillId="7" borderId="114" xfId="0" applyFont="1" applyFill="1" applyBorder="1" applyAlignment="1">
      <alignment horizontal="center" vertical="center" wrapText="1"/>
    </xf>
    <xf numFmtId="3" fontId="87" fillId="2" borderId="101" xfId="0" applyNumberFormat="1" applyFont="1" applyFill="1" applyBorder="1" applyAlignment="1">
      <alignment horizontal="center" vertical="center" wrapText="1"/>
    </xf>
    <xf numFmtId="3" fontId="87" fillId="2" borderId="100" xfId="0" applyNumberFormat="1" applyFont="1" applyFill="1" applyBorder="1" applyAlignment="1">
      <alignment horizontal="center" vertical="center" wrapText="1"/>
    </xf>
    <xf numFmtId="3" fontId="87" fillId="2" borderId="38" xfId="0" applyNumberFormat="1" applyFont="1" applyFill="1" applyBorder="1" applyAlignment="1">
      <alignment horizontal="center" vertical="center" wrapText="1"/>
    </xf>
    <xf numFmtId="0" fontId="82" fillId="7" borderId="99" xfId="0" applyFont="1" applyFill="1" applyBorder="1" applyAlignment="1">
      <alignment horizontal="center" vertical="center"/>
    </xf>
    <xf numFmtId="0" fontId="82" fillId="7" borderId="102" xfId="0" applyFont="1" applyFill="1" applyBorder="1" applyAlignment="1">
      <alignment horizontal="center" vertical="center"/>
    </xf>
    <xf numFmtId="0" fontId="82" fillId="7" borderId="40" xfId="0" applyFont="1" applyFill="1" applyBorder="1" applyAlignment="1">
      <alignment horizontal="center" vertical="center"/>
    </xf>
    <xf numFmtId="0" fontId="82" fillId="7" borderId="128" xfId="0" applyFont="1" applyFill="1" applyBorder="1" applyAlignment="1">
      <alignment horizontal="center" vertical="center" wrapText="1"/>
    </xf>
    <xf numFmtId="3" fontId="87" fillId="2" borderId="68" xfId="0" applyNumberFormat="1" applyFont="1" applyFill="1" applyBorder="1" applyAlignment="1">
      <alignment horizontal="center" vertical="center" wrapText="1"/>
    </xf>
    <xf numFmtId="0" fontId="82" fillId="7" borderId="99" xfId="0" applyFont="1" applyFill="1" applyBorder="1" applyAlignment="1">
      <alignment horizontal="center" vertical="center" wrapText="1"/>
    </xf>
    <xf numFmtId="0" fontId="82" fillId="7" borderId="102" xfId="0" applyFont="1" applyFill="1" applyBorder="1" applyAlignment="1">
      <alignment horizontal="center" vertical="center" wrapText="1"/>
    </xf>
    <xf numFmtId="0" fontId="82" fillId="7" borderId="40" xfId="0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19" fillId="0" borderId="0" xfId="0" applyFont="1" applyFill="1" applyBorder="1" applyAlignment="1">
      <alignment horizontal="center" vertical="center" wrapText="1"/>
    </xf>
    <xf numFmtId="4" fontId="6" fillId="8" borderId="134" xfId="0" applyNumberFormat="1" applyFont="1" applyFill="1" applyBorder="1" applyAlignment="1">
      <alignment horizontal="center" vertical="center"/>
    </xf>
    <xf numFmtId="4" fontId="6" fillId="8" borderId="127" xfId="0" applyNumberFormat="1" applyFont="1" applyFill="1" applyBorder="1" applyAlignment="1">
      <alignment horizontal="center" vertical="center"/>
    </xf>
    <xf numFmtId="4" fontId="6" fillId="8" borderId="39" xfId="0" applyNumberFormat="1" applyFont="1" applyFill="1" applyBorder="1" applyAlignment="1">
      <alignment horizontal="center" vertical="center"/>
    </xf>
    <xf numFmtId="0" fontId="19" fillId="7" borderId="99" xfId="0" applyFont="1" applyFill="1" applyBorder="1" applyAlignment="1">
      <alignment horizontal="center" vertical="center" wrapText="1"/>
    </xf>
    <xf numFmtId="0" fontId="19" fillId="7" borderId="102" xfId="0" applyFont="1" applyFill="1" applyBorder="1" applyAlignment="1">
      <alignment horizontal="center" vertical="center" wrapText="1"/>
    </xf>
    <xf numFmtId="0" fontId="19" fillId="7" borderId="40" xfId="0" applyFont="1" applyFill="1" applyBorder="1" applyAlignment="1">
      <alignment horizontal="center" vertical="center" wrapText="1"/>
    </xf>
    <xf numFmtId="3" fontId="6" fillId="2" borderId="101" xfId="0" applyNumberFormat="1" applyFont="1" applyFill="1" applyBorder="1" applyAlignment="1">
      <alignment horizontal="center" vertical="center" wrapText="1"/>
    </xf>
    <xf numFmtId="3" fontId="6" fillId="2" borderId="100" xfId="0" applyNumberFormat="1" applyFont="1" applyFill="1" applyBorder="1" applyAlignment="1">
      <alignment horizontal="center" vertical="center" wrapText="1"/>
    </xf>
    <xf numFmtId="3" fontId="6" fillId="2" borderId="38" xfId="0" applyNumberFormat="1" applyFont="1" applyFill="1" applyBorder="1" applyAlignment="1">
      <alignment horizontal="center" vertical="center" wrapText="1"/>
    </xf>
    <xf numFmtId="0" fontId="19" fillId="7" borderId="114" xfId="0" applyFont="1" applyFill="1" applyBorder="1" applyAlignment="1">
      <alignment horizontal="center" vertical="center" wrapText="1"/>
    </xf>
    <xf numFmtId="0" fontId="19" fillId="7" borderId="128" xfId="0" applyFont="1" applyFill="1" applyBorder="1" applyAlignment="1">
      <alignment horizontal="center" vertical="center" wrapText="1"/>
    </xf>
    <xf numFmtId="3" fontId="6" fillId="2" borderId="68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4" fontId="6" fillId="8" borderId="143" xfId="0" applyNumberFormat="1" applyFont="1" applyFill="1" applyBorder="1" applyAlignment="1">
      <alignment horizontal="center" vertical="center"/>
    </xf>
    <xf numFmtId="4" fontId="6" fillId="8" borderId="139" xfId="0" applyNumberFormat="1" applyFont="1" applyFill="1" applyBorder="1" applyAlignment="1">
      <alignment horizontal="center" vertical="center"/>
    </xf>
    <xf numFmtId="0" fontId="19" fillId="7" borderId="28" xfId="0" applyFont="1" applyFill="1" applyBorder="1" applyAlignment="1">
      <alignment horizontal="center" vertical="center" wrapText="1"/>
    </xf>
    <xf numFmtId="0" fontId="19" fillId="7" borderId="127" xfId="0" applyFont="1" applyFill="1" applyBorder="1" applyAlignment="1">
      <alignment horizontal="center" vertical="center" wrapText="1"/>
    </xf>
    <xf numFmtId="3" fontId="6" fillId="2" borderId="136" xfId="0" applyNumberFormat="1" applyFont="1" applyFill="1" applyBorder="1" applyAlignment="1">
      <alignment horizontal="center" vertical="center" wrapText="1"/>
    </xf>
    <xf numFmtId="0" fontId="19" fillId="7" borderId="135" xfId="0" applyFont="1" applyFill="1" applyBorder="1" applyAlignment="1">
      <alignment horizontal="center" vertical="center" wrapText="1"/>
    </xf>
    <xf numFmtId="0" fontId="19" fillId="7" borderId="133" xfId="0" applyFont="1" applyFill="1" applyBorder="1" applyAlignment="1">
      <alignment horizontal="center" vertical="center"/>
    </xf>
    <xf numFmtId="0" fontId="19" fillId="7" borderId="102" xfId="0" applyFont="1" applyFill="1" applyBorder="1" applyAlignment="1">
      <alignment horizontal="center" vertical="center"/>
    </xf>
    <xf numFmtId="0" fontId="19" fillId="7" borderId="40" xfId="0" applyFont="1" applyFill="1" applyBorder="1" applyAlignment="1">
      <alignment horizontal="center" vertical="center"/>
    </xf>
    <xf numFmtId="0" fontId="19" fillId="7" borderId="39" xfId="0" applyFont="1" applyFill="1" applyBorder="1" applyAlignment="1">
      <alignment horizontal="center" vertical="center" wrapText="1"/>
    </xf>
    <xf numFmtId="0" fontId="19" fillId="7" borderId="99" xfId="0" applyFont="1" applyFill="1" applyBorder="1" applyAlignment="1">
      <alignment horizontal="center" vertical="center"/>
    </xf>
    <xf numFmtId="0" fontId="19" fillId="7" borderId="71" xfId="0" applyFont="1" applyFill="1" applyBorder="1" applyAlignment="1">
      <alignment horizontal="center" vertical="center" wrapText="1"/>
    </xf>
    <xf numFmtId="0" fontId="19" fillId="7" borderId="132" xfId="0" applyFont="1" applyFill="1" applyBorder="1" applyAlignment="1">
      <alignment horizontal="center" vertical="center" wrapText="1"/>
    </xf>
    <xf numFmtId="0" fontId="44" fillId="23" borderId="18" xfId="0" applyFont="1" applyFill="1" applyBorder="1" applyAlignment="1">
      <alignment horizontal="left"/>
    </xf>
    <xf numFmtId="0" fontId="44" fillId="23" borderId="19" xfId="0" applyFont="1" applyFill="1" applyBorder="1" applyAlignment="1">
      <alignment horizontal="left"/>
    </xf>
    <xf numFmtId="0" fontId="44" fillId="23" borderId="20" xfId="0" applyFont="1" applyFill="1" applyBorder="1" applyAlignment="1">
      <alignment horizontal="left"/>
    </xf>
    <xf numFmtId="0" fontId="19" fillId="7" borderId="105" xfId="0" applyFont="1" applyFill="1" applyBorder="1" applyAlignment="1">
      <alignment horizontal="center" vertical="center"/>
    </xf>
    <xf numFmtId="0" fontId="19" fillId="7" borderId="126" xfId="0" applyFont="1" applyFill="1" applyBorder="1" applyAlignment="1">
      <alignment horizontal="center" vertical="center"/>
    </xf>
    <xf numFmtId="0" fontId="19" fillId="7" borderId="72" xfId="0" applyFont="1" applyFill="1" applyBorder="1" applyAlignment="1">
      <alignment horizontal="center" vertical="center"/>
    </xf>
    <xf numFmtId="0" fontId="19" fillId="7" borderId="69" xfId="0" applyFont="1" applyFill="1" applyBorder="1" applyAlignment="1">
      <alignment horizontal="center" vertical="center"/>
    </xf>
    <xf numFmtId="0" fontId="19" fillId="7" borderId="30" xfId="0" applyFont="1" applyFill="1" applyBorder="1" applyAlignment="1">
      <alignment horizontal="center" vertical="center" wrapText="1"/>
    </xf>
    <xf numFmtId="0" fontId="19" fillId="7" borderId="112" xfId="0" applyFont="1" applyFill="1" applyBorder="1" applyAlignment="1">
      <alignment horizontal="center" vertical="center" wrapText="1"/>
    </xf>
    <xf numFmtId="0" fontId="19" fillId="7" borderId="27" xfId="0" applyFont="1" applyFill="1" applyBorder="1" applyAlignment="1">
      <alignment horizontal="center" vertical="center" wrapText="1"/>
    </xf>
    <xf numFmtId="0" fontId="19" fillId="7" borderId="38" xfId="0" applyFont="1" applyFill="1" applyBorder="1" applyAlignment="1">
      <alignment horizontal="center" vertical="center" wrapText="1"/>
    </xf>
    <xf numFmtId="0" fontId="19" fillId="7" borderId="105" xfId="0" applyFont="1" applyFill="1" applyBorder="1" applyAlignment="1">
      <alignment horizontal="center" vertical="center" wrapText="1"/>
    </xf>
    <xf numFmtId="0" fontId="19" fillId="7" borderId="72" xfId="0" applyFont="1" applyFill="1" applyBorder="1" applyAlignment="1">
      <alignment horizontal="center" vertical="center" wrapText="1"/>
    </xf>
    <xf numFmtId="0" fontId="19" fillId="7" borderId="80" xfId="0" applyFont="1" applyFill="1" applyBorder="1" applyAlignment="1">
      <alignment horizontal="center" vertical="center" wrapText="1"/>
    </xf>
    <xf numFmtId="0" fontId="19" fillId="23" borderId="18" xfId="0" applyFont="1" applyFill="1" applyBorder="1" applyAlignment="1">
      <alignment horizontal="left"/>
    </xf>
    <xf numFmtId="0" fontId="19" fillId="23" borderId="19" xfId="0" applyFont="1" applyFill="1" applyBorder="1" applyAlignment="1">
      <alignment horizontal="left"/>
    </xf>
    <xf numFmtId="0" fontId="19" fillId="23" borderId="20" xfId="0" applyFont="1" applyFill="1" applyBorder="1" applyAlignment="1">
      <alignment horizontal="left"/>
    </xf>
    <xf numFmtId="0" fontId="19" fillId="7" borderId="30" xfId="0" applyFont="1" applyFill="1" applyBorder="1" applyAlignment="1">
      <alignment horizontal="center" vertical="center"/>
    </xf>
    <xf numFmtId="0" fontId="19" fillId="7" borderId="131" xfId="0" applyFont="1" applyFill="1" applyBorder="1" applyAlignment="1">
      <alignment horizontal="center" vertical="center"/>
    </xf>
    <xf numFmtId="0" fontId="19" fillId="7" borderId="131" xfId="0" applyFont="1" applyFill="1" applyBorder="1" applyAlignment="1">
      <alignment horizontal="center" vertical="center" wrapText="1"/>
    </xf>
    <xf numFmtId="0" fontId="19" fillId="7" borderId="133" xfId="0" applyFont="1" applyFill="1" applyBorder="1" applyAlignment="1">
      <alignment horizontal="center" vertical="center" wrapText="1"/>
    </xf>
    <xf numFmtId="0" fontId="82" fillId="7" borderId="28" xfId="0" applyFont="1" applyFill="1" applyBorder="1" applyAlignment="1">
      <alignment horizontal="center" vertical="center" wrapText="1"/>
    </xf>
    <xf numFmtId="0" fontId="82" fillId="7" borderId="127" xfId="0" applyFont="1" applyFill="1" applyBorder="1" applyAlignment="1">
      <alignment horizontal="center" vertical="center" wrapText="1"/>
    </xf>
    <xf numFmtId="0" fontId="44" fillId="7" borderId="133" xfId="0" applyFont="1" applyFill="1" applyBorder="1" applyAlignment="1">
      <alignment horizontal="center" vertical="center" wrapText="1"/>
    </xf>
    <xf numFmtId="0" fontId="44" fillId="7" borderId="102" xfId="0" applyFont="1" applyFill="1" applyBorder="1" applyAlignment="1">
      <alignment horizontal="center" vertical="center" wrapText="1"/>
    </xf>
    <xf numFmtId="0" fontId="44" fillId="7" borderId="40" xfId="0" applyFont="1" applyFill="1" applyBorder="1" applyAlignment="1">
      <alignment horizontal="center" vertical="center" wrapText="1"/>
    </xf>
    <xf numFmtId="0" fontId="82" fillId="23" borderId="18" xfId="0" applyFont="1" applyFill="1" applyBorder="1" applyAlignment="1">
      <alignment horizontal="left"/>
    </xf>
    <xf numFmtId="0" fontId="82" fillId="23" borderId="19" xfId="0" applyFont="1" applyFill="1" applyBorder="1" applyAlignment="1">
      <alignment horizontal="left"/>
    </xf>
    <xf numFmtId="0" fontId="82" fillId="23" borderId="20" xfId="0" applyFont="1" applyFill="1" applyBorder="1" applyAlignment="1">
      <alignment horizontal="left"/>
    </xf>
    <xf numFmtId="0" fontId="82" fillId="7" borderId="105" xfId="0" applyFont="1" applyFill="1" applyBorder="1" applyAlignment="1">
      <alignment horizontal="center" vertical="center"/>
    </xf>
    <xf numFmtId="0" fontId="82" fillId="7" borderId="126" xfId="0" applyFont="1" applyFill="1" applyBorder="1" applyAlignment="1">
      <alignment horizontal="center" vertical="center"/>
    </xf>
    <xf numFmtId="0" fontId="82" fillId="7" borderId="72" xfId="0" applyFont="1" applyFill="1" applyBorder="1" applyAlignment="1">
      <alignment horizontal="center" vertical="center"/>
    </xf>
    <xf numFmtId="0" fontId="82" fillId="7" borderId="69" xfId="0" applyFont="1" applyFill="1" applyBorder="1" applyAlignment="1">
      <alignment horizontal="center" vertical="center"/>
    </xf>
    <xf numFmtId="0" fontId="82" fillId="7" borderId="30" xfId="0" applyFont="1" applyFill="1" applyBorder="1" applyAlignment="1">
      <alignment horizontal="center" vertical="center" wrapText="1"/>
    </xf>
    <xf numFmtId="0" fontId="82" fillId="7" borderId="112" xfId="0" applyFont="1" applyFill="1" applyBorder="1" applyAlignment="1">
      <alignment horizontal="center" vertical="center" wrapText="1"/>
    </xf>
    <xf numFmtId="0" fontId="82" fillId="7" borderId="27" xfId="0" applyFont="1" applyFill="1" applyBorder="1" applyAlignment="1">
      <alignment horizontal="center" vertical="center" wrapText="1"/>
    </xf>
    <xf numFmtId="0" fontId="82" fillId="7" borderId="38" xfId="0" applyFont="1" applyFill="1" applyBorder="1" applyAlignment="1">
      <alignment horizontal="center" vertical="center" wrapText="1"/>
    </xf>
    <xf numFmtId="0" fontId="82" fillId="7" borderId="105" xfId="0" applyFont="1" applyFill="1" applyBorder="1" applyAlignment="1">
      <alignment horizontal="center" vertical="center" wrapText="1"/>
    </xf>
    <xf numFmtId="0" fontId="82" fillId="7" borderId="72" xfId="0" applyFont="1" applyFill="1" applyBorder="1" applyAlignment="1">
      <alignment horizontal="center" vertical="center" wrapText="1"/>
    </xf>
    <xf numFmtId="0" fontId="82" fillId="7" borderId="71" xfId="0" applyFont="1" applyFill="1" applyBorder="1" applyAlignment="1">
      <alignment horizontal="center" vertical="center" wrapText="1"/>
    </xf>
    <xf numFmtId="0" fontId="82" fillId="7" borderId="80" xfId="0" applyFont="1" applyFill="1" applyBorder="1" applyAlignment="1">
      <alignment horizontal="center" vertical="center" wrapText="1"/>
    </xf>
    <xf numFmtId="2" fontId="19" fillId="7" borderId="18" xfId="0" applyNumberFormat="1" applyFont="1" applyFill="1" applyBorder="1" applyAlignment="1">
      <alignment horizontal="center" vertical="center" wrapText="1"/>
    </xf>
    <xf numFmtId="2" fontId="19" fillId="7" borderId="19" xfId="0" applyNumberFormat="1" applyFont="1" applyFill="1" applyBorder="1" applyAlignment="1">
      <alignment horizontal="center" vertical="center" wrapText="1"/>
    </xf>
    <xf numFmtId="2" fontId="19" fillId="7" borderId="20" xfId="0" applyNumberFormat="1" applyFont="1" applyFill="1" applyBorder="1" applyAlignment="1">
      <alignment horizontal="center" vertical="center" wrapText="1"/>
    </xf>
    <xf numFmtId="165" fontId="37" fillId="22" borderId="29" xfId="14" applyNumberFormat="1" applyFont="1" applyFill="1" applyBorder="1" applyAlignment="1">
      <alignment horizontal="right" vertical="center" wrapText="1"/>
    </xf>
    <xf numFmtId="165" fontId="37" fillId="22" borderId="30" xfId="14" applyNumberFormat="1" applyFont="1" applyFill="1" applyBorder="1" applyAlignment="1">
      <alignment horizontal="right" vertical="center" wrapText="1"/>
    </xf>
    <xf numFmtId="165" fontId="37" fillId="22" borderId="135" xfId="14" applyNumberFormat="1" applyFont="1" applyFill="1" applyBorder="1" applyAlignment="1">
      <alignment horizontal="right" vertical="center" wrapText="1"/>
    </xf>
    <xf numFmtId="165" fontId="37" fillId="22" borderId="131" xfId="14" applyNumberFormat="1" applyFont="1" applyFill="1" applyBorder="1" applyAlignment="1">
      <alignment horizontal="right" vertical="center" wrapText="1"/>
    </xf>
    <xf numFmtId="165" fontId="37" fillId="22" borderId="128" xfId="14" applyNumberFormat="1" applyFont="1" applyFill="1" applyBorder="1" applyAlignment="1">
      <alignment horizontal="right" vertical="center" wrapText="1"/>
    </xf>
    <xf numFmtId="165" fontId="37" fillId="22" borderId="129" xfId="14" applyNumberFormat="1" applyFont="1" applyFill="1" applyBorder="1" applyAlignment="1">
      <alignment horizontal="right" vertical="center" wrapText="1"/>
    </xf>
    <xf numFmtId="2" fontId="19" fillId="7" borderId="21" xfId="0" applyNumberFormat="1" applyFont="1" applyFill="1" applyBorder="1" applyAlignment="1">
      <alignment horizontal="center" vertical="center" wrapText="1"/>
    </xf>
    <xf numFmtId="2" fontId="19" fillId="7" borderId="83" xfId="0" applyNumberFormat="1" applyFont="1" applyFill="1" applyBorder="1" applyAlignment="1">
      <alignment horizontal="center" vertical="center" wrapText="1"/>
    </xf>
    <xf numFmtId="165" fontId="44" fillId="24" borderId="18" xfId="14" applyNumberFormat="1" applyFont="1" applyFill="1" applyBorder="1" applyAlignment="1">
      <alignment horizontal="left"/>
    </xf>
    <xf numFmtId="165" fontId="44" fillId="24" borderId="20" xfId="14" applyNumberFormat="1" applyFont="1" applyFill="1" applyBorder="1" applyAlignment="1">
      <alignment horizontal="left"/>
    </xf>
    <xf numFmtId="0" fontId="19" fillId="7" borderId="18" xfId="0" applyFont="1" applyFill="1" applyBorder="1" applyAlignment="1">
      <alignment horizontal="center" vertical="center" wrapText="1"/>
    </xf>
    <xf numFmtId="0" fontId="13" fillId="7" borderId="20" xfId="0" applyFont="1" applyFill="1" applyBorder="1"/>
    <xf numFmtId="0" fontId="40" fillId="7" borderId="29" xfId="0" applyFont="1" applyFill="1" applyBorder="1" applyAlignment="1">
      <alignment horizontal="center" vertical="center" wrapText="1"/>
    </xf>
    <xf numFmtId="0" fontId="40" fillId="7" borderId="31" xfId="0" applyFont="1" applyFill="1" applyBorder="1" applyAlignment="1">
      <alignment horizontal="center" vertical="center" wrapText="1"/>
    </xf>
    <xf numFmtId="0" fontId="92" fillId="0" borderId="188" xfId="0" applyFont="1" applyBorder="1" applyAlignment="1">
      <alignment horizontal="center" vertical="center"/>
    </xf>
    <xf numFmtId="0" fontId="74" fillId="0" borderId="196" xfId="0" applyFont="1" applyBorder="1" applyAlignment="1">
      <alignment horizontal="center" vertical="center" wrapText="1"/>
    </xf>
    <xf numFmtId="0" fontId="74" fillId="0" borderId="176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0" fontId="74" fillId="0" borderId="188" xfId="0" applyFont="1" applyBorder="1" applyAlignment="1">
      <alignment horizontal="center" vertical="center" wrapText="1"/>
    </xf>
    <xf numFmtId="0" fontId="74" fillId="0" borderId="167" xfId="0" applyFont="1" applyBorder="1" applyAlignment="1">
      <alignment horizontal="center" vertical="center" wrapText="1"/>
    </xf>
    <xf numFmtId="0" fontId="55" fillId="8" borderId="8" xfId="0" applyFont="1" applyFill="1" applyBorder="1" applyAlignment="1">
      <alignment horizontal="center" vertical="center" wrapText="1"/>
    </xf>
    <xf numFmtId="0" fontId="55" fillId="8" borderId="170" xfId="0" applyFont="1" applyFill="1" applyBorder="1" applyAlignment="1">
      <alignment horizontal="center" vertical="center" wrapText="1"/>
    </xf>
    <xf numFmtId="0" fontId="55" fillId="8" borderId="9" xfId="0" applyFont="1" applyFill="1" applyBorder="1" applyAlignment="1">
      <alignment horizontal="center" vertical="center" wrapText="1"/>
    </xf>
    <xf numFmtId="0" fontId="55" fillId="8" borderId="111" xfId="0" applyFont="1" applyFill="1" applyBorder="1" applyAlignment="1">
      <alignment horizontal="center" vertical="center" wrapText="1"/>
    </xf>
    <xf numFmtId="0" fontId="55" fillId="8" borderId="0" xfId="0" applyFont="1" applyFill="1" applyBorder="1" applyAlignment="1">
      <alignment horizontal="center" vertical="center" wrapText="1"/>
    </xf>
    <xf numFmtId="0" fontId="55" fillId="8" borderId="171" xfId="0" applyFont="1" applyFill="1" applyBorder="1" applyAlignment="1">
      <alignment horizontal="center" vertical="center" wrapText="1"/>
    </xf>
    <xf numFmtId="0" fontId="55" fillId="8" borderId="113" xfId="0" applyFont="1" applyFill="1" applyBorder="1" applyAlignment="1">
      <alignment horizontal="center" vertical="center" wrapText="1"/>
    </xf>
    <xf numFmtId="0" fontId="55" fillId="8" borderId="172" xfId="0" applyFont="1" applyFill="1" applyBorder="1" applyAlignment="1">
      <alignment horizontal="center" vertical="center" wrapText="1"/>
    </xf>
    <xf numFmtId="0" fontId="55" fillId="8" borderId="74" xfId="0" applyFont="1" applyFill="1" applyBorder="1" applyAlignment="1">
      <alignment horizontal="center" vertical="center" wrapText="1"/>
    </xf>
    <xf numFmtId="0" fontId="96" fillId="0" borderId="18" xfId="0" applyFont="1" applyBorder="1" applyAlignment="1">
      <alignment horizontal="center"/>
    </xf>
    <xf numFmtId="0" fontId="96" fillId="0" borderId="19" xfId="0" applyFont="1" applyBorder="1" applyAlignment="1">
      <alignment horizontal="center"/>
    </xf>
    <xf numFmtId="0" fontId="96" fillId="0" borderId="20" xfId="0" applyFont="1" applyBorder="1" applyAlignment="1">
      <alignment horizontal="center"/>
    </xf>
    <xf numFmtId="0" fontId="71" fillId="0" borderId="169" xfId="0" applyFont="1" applyBorder="1" applyAlignment="1">
      <alignment horizontal="center" vertical="center"/>
    </xf>
    <xf numFmtId="0" fontId="71" fillId="0" borderId="38" xfId="0" applyFont="1" applyBorder="1" applyAlignment="1">
      <alignment horizontal="center" vertical="center"/>
    </xf>
    <xf numFmtId="0" fontId="72" fillId="2" borderId="132" xfId="0" applyFont="1" applyFill="1" applyBorder="1" applyAlignment="1">
      <alignment horizontal="center" vertical="center" wrapText="1"/>
    </xf>
    <xf numFmtId="0" fontId="72" fillId="2" borderId="176" xfId="0" applyFont="1" applyFill="1" applyBorder="1" applyAlignment="1">
      <alignment horizontal="center" vertical="center" wrapText="1"/>
    </xf>
    <xf numFmtId="0" fontId="72" fillId="2" borderId="70" xfId="0" applyFont="1" applyFill="1" applyBorder="1" applyAlignment="1">
      <alignment horizontal="center" vertical="center" wrapText="1"/>
    </xf>
    <xf numFmtId="0" fontId="91" fillId="23" borderId="8" xfId="5" applyFont="1" applyFill="1" applyBorder="1" applyAlignment="1">
      <alignment horizontal="left"/>
    </xf>
    <xf numFmtId="0" fontId="91" fillId="23" borderId="9" xfId="5" applyFont="1" applyFill="1" applyBorder="1" applyAlignment="1">
      <alignment horizontal="left"/>
    </xf>
    <xf numFmtId="0" fontId="91" fillId="23" borderId="113" xfId="5" applyFont="1" applyFill="1" applyBorder="1" applyAlignment="1">
      <alignment horizontal="left"/>
    </xf>
    <xf numFmtId="0" fontId="91" fillId="23" borderId="74" xfId="5" applyFont="1" applyFill="1" applyBorder="1" applyAlignment="1">
      <alignment horizontal="left"/>
    </xf>
    <xf numFmtId="0" fontId="93" fillId="9" borderId="18" xfId="0" applyFont="1" applyFill="1" applyBorder="1" applyAlignment="1">
      <alignment horizontal="center" vertical="center"/>
    </xf>
    <xf numFmtId="0" fontId="93" fillId="9" borderId="19" xfId="0" applyFont="1" applyFill="1" applyBorder="1" applyAlignment="1">
      <alignment horizontal="center" vertical="center"/>
    </xf>
    <xf numFmtId="0" fontId="93" fillId="9" borderId="20" xfId="0" applyFont="1" applyFill="1" applyBorder="1" applyAlignment="1">
      <alignment horizontal="center" vertical="center"/>
    </xf>
    <xf numFmtId="0" fontId="96" fillId="23" borderId="18" xfId="5" applyFont="1" applyFill="1" applyBorder="1" applyAlignment="1">
      <alignment horizontal="left"/>
    </xf>
    <xf numFmtId="0" fontId="96" fillId="23" borderId="20" xfId="5" applyFont="1" applyFill="1" applyBorder="1" applyAlignment="1">
      <alignment horizontal="left"/>
    </xf>
    <xf numFmtId="0" fontId="91" fillId="23" borderId="18" xfId="5" applyFont="1" applyFill="1" applyBorder="1" applyAlignment="1">
      <alignment horizontal="left"/>
    </xf>
    <xf numFmtId="0" fontId="91" fillId="23" borderId="20" xfId="5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7" fillId="27" borderId="18" xfId="0" applyFont="1" applyFill="1" applyBorder="1" applyAlignment="1">
      <alignment horizontal="center"/>
    </xf>
    <xf numFmtId="0" fontId="27" fillId="27" borderId="19" xfId="0" applyFont="1" applyFill="1" applyBorder="1" applyAlignment="1">
      <alignment horizontal="center"/>
    </xf>
    <xf numFmtId="0" fontId="27" fillId="27" borderId="20" xfId="0" applyFont="1" applyFill="1" applyBorder="1" applyAlignment="1">
      <alignment horizontal="center"/>
    </xf>
    <xf numFmtId="0" fontId="24" fillId="9" borderId="18" xfId="0" applyFont="1" applyFill="1" applyBorder="1" applyAlignment="1">
      <alignment horizontal="center" vertical="center"/>
    </xf>
    <xf numFmtId="0" fontId="24" fillId="9" borderId="19" xfId="0" applyFont="1" applyFill="1" applyBorder="1" applyAlignment="1">
      <alignment horizontal="center" vertical="center"/>
    </xf>
    <xf numFmtId="0" fontId="27" fillId="26" borderId="18" xfId="0" applyFont="1" applyFill="1" applyBorder="1" applyAlignment="1">
      <alignment horizontal="center"/>
    </xf>
    <xf numFmtId="0" fontId="27" fillId="26" borderId="19" xfId="0" applyFont="1" applyFill="1" applyBorder="1" applyAlignment="1">
      <alignment horizontal="center"/>
    </xf>
    <xf numFmtId="0" fontId="27" fillId="26" borderId="20" xfId="0" applyFont="1" applyFill="1" applyBorder="1" applyAlignment="1">
      <alignment horizontal="center"/>
    </xf>
  </cellXfs>
  <cellStyles count="18">
    <cellStyle name="Dziesiętny" xfId="13" builtinId="3"/>
    <cellStyle name="Dziesiętny 2" xfId="2" xr:uid="{00000000-0005-0000-0000-000001000000}"/>
    <cellStyle name="Dziesiętny 3" xfId="3" xr:uid="{00000000-0005-0000-0000-000002000000}"/>
    <cellStyle name="Dziesiętny 4" xfId="15" xr:uid="{00000000-0005-0000-0000-000003000000}"/>
    <cellStyle name="Excel Built-in Normal" xfId="1" xr:uid="{00000000-0005-0000-0000-000004000000}"/>
    <cellStyle name="Normalny" xfId="0" builtinId="0"/>
    <cellStyle name="Normalny 2" xfId="4" xr:uid="{00000000-0005-0000-0000-000006000000}"/>
    <cellStyle name="Normalny 2 2" xfId="5" xr:uid="{00000000-0005-0000-0000-000007000000}"/>
    <cellStyle name="Normalny 2 3" xfId="6" xr:uid="{00000000-0005-0000-0000-000008000000}"/>
    <cellStyle name="Normalny 2 4" xfId="7" xr:uid="{00000000-0005-0000-0000-000009000000}"/>
    <cellStyle name="Normalny 3" xfId="8" xr:uid="{00000000-0005-0000-0000-00000A000000}"/>
    <cellStyle name="Normalny 4" xfId="9" xr:uid="{00000000-0005-0000-0000-00000B000000}"/>
    <cellStyle name="Normalny 5" xfId="14" xr:uid="{00000000-0005-0000-0000-00000C000000}"/>
    <cellStyle name="Procentowy" xfId="17" builtinId="5"/>
    <cellStyle name="Procentowy 2" xfId="10" xr:uid="{00000000-0005-0000-0000-00000E000000}"/>
    <cellStyle name="Standard_IB Finanzierung Basic" xfId="11" xr:uid="{00000000-0005-0000-0000-00000F000000}"/>
    <cellStyle name="Walutowy" xfId="16" builtinId="4"/>
    <cellStyle name="Walutowy 2" xfId="12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Liczba </a:t>
            </a:r>
            <a:r>
              <a:rPr lang="pl-PL"/>
              <a:t>mieszkańców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Charakterystyka!$B$7</c:f>
              <c:strCache>
                <c:ptCount val="1"/>
                <c:pt idx="0">
                  <c:v>Liczba mieszkańców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numRef>
              <c:f>Charakterystyka!$C$8:$T$8</c:f>
              <c:numCache>
                <c:formatCode>0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Charakterystyka!$C$9:$T$9</c:f>
              <c:numCache>
                <c:formatCode>#,##0</c:formatCode>
                <c:ptCount val="18"/>
                <c:pt idx="0">
                  <c:v>46564</c:v>
                </c:pt>
                <c:pt idx="1">
                  <c:v>46403</c:v>
                </c:pt>
                <c:pt idx="2">
                  <c:v>46481</c:v>
                </c:pt>
                <c:pt idx="3">
                  <c:v>46525</c:v>
                </c:pt>
                <c:pt idx="4">
                  <c:v>46274</c:v>
                </c:pt>
                <c:pt idx="5">
                  <c:v>45947</c:v>
                </c:pt>
                <c:pt idx="6">
                  <c:v>45711</c:v>
                </c:pt>
                <c:pt idx="7">
                  <c:v>45475</c:v>
                </c:pt>
                <c:pt idx="8">
                  <c:v>45473</c:v>
                </c:pt>
                <c:pt idx="9">
                  <c:v>45270</c:v>
                </c:pt>
                <c:pt idx="10">
                  <c:v>45548</c:v>
                </c:pt>
                <c:pt idx="11">
                  <c:v>45275</c:v>
                </c:pt>
                <c:pt idx="12">
                  <c:v>44974</c:v>
                </c:pt>
                <c:pt idx="13">
                  <c:v>44797</c:v>
                </c:pt>
                <c:pt idx="14">
                  <c:v>44585</c:v>
                </c:pt>
                <c:pt idx="15">
                  <c:v>44506</c:v>
                </c:pt>
                <c:pt idx="16" formatCode="General">
                  <c:v>44383</c:v>
                </c:pt>
                <c:pt idx="17" formatCode="General">
                  <c:v>44303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7-4250-90C5-A4E9E115B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712792"/>
        <c:axId val="364713184"/>
      </c:barChart>
      <c:catAx>
        <c:axId val="3647127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64713184"/>
        <c:crosses val="autoZero"/>
        <c:auto val="1"/>
        <c:lblAlgn val="ctr"/>
        <c:lblOffset val="100"/>
        <c:noMultiLvlLbl val="0"/>
      </c:catAx>
      <c:valAx>
        <c:axId val="3647131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64712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Prognoza</a:t>
            </a:r>
            <a:r>
              <a:rPr lang="pl-PL" baseline="0"/>
              <a:t> powierzchni mieszkań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Charakterystyka!$Z$65</c:f>
              <c:strCache>
                <c:ptCount val="1"/>
                <c:pt idx="0">
                  <c:v>Prognoza ogólnej powierzchni mieszkań [m2]</c:v>
                </c:pt>
              </c:strCache>
            </c:strRef>
          </c:tx>
          <c:spPr>
            <a:ln w="31750" cmpd="sng">
              <a:solidFill>
                <a:schemeClr val="accent5"/>
              </a:solidFill>
              <a:prstDash val="sysDash"/>
              <a:tailEnd type="none"/>
            </a:ln>
            <a:effectLst/>
          </c:spPr>
          <c:marker>
            <c:symbol val="none"/>
          </c:marker>
          <c:cat>
            <c:numRef>
              <c:f>Charakterystyka!$C$5:$Z$5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(Charakterystyka!$C$68:$S$68,Charakterystyka!$T$67,Charakterystyka!$AB$67:$AG$67)</c:f>
              <c:numCache>
                <c:formatCode>General</c:formatCode>
                <c:ptCount val="24"/>
                <c:pt idx="17">
                  <c:v>1201789</c:v>
                </c:pt>
                <c:pt idx="18" formatCode="#,##0">
                  <c:v>1233532</c:v>
                </c:pt>
                <c:pt idx="19" formatCode="#,##0">
                  <c:v>1249847</c:v>
                </c:pt>
                <c:pt idx="20" formatCode="#,##0">
                  <c:v>1266378</c:v>
                </c:pt>
                <c:pt idx="21" formatCode="#,##0">
                  <c:v>1282765</c:v>
                </c:pt>
                <c:pt idx="22" formatCode="#,##0">
                  <c:v>1299188</c:v>
                </c:pt>
                <c:pt idx="23" formatCode="#,##0">
                  <c:v>1315611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2DD-4058-9284-E071A80638D2}"/>
            </c:ext>
          </c:extLst>
        </c:ser>
        <c:ser>
          <c:idx val="0"/>
          <c:order val="1"/>
          <c:tx>
            <c:strRef>
              <c:f>Charakterystyka!$B$65</c:f>
              <c:strCache>
                <c:ptCount val="1"/>
                <c:pt idx="0">
                  <c:v>Ogólna powierzchnia mieszkań [m2]</c:v>
                </c:pt>
              </c:strCache>
            </c:strRef>
          </c:tx>
          <c:spPr>
            <a:ln w="31750" cap="rnd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Charakterystyka!$C$5:$Z$5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Charakterystyka!$C$67:$T$67</c:f>
              <c:numCache>
                <c:formatCode>#,##0</c:formatCode>
                <c:ptCount val="18"/>
                <c:pt idx="0">
                  <c:v>863588</c:v>
                </c:pt>
                <c:pt idx="1">
                  <c:v>875289</c:v>
                </c:pt>
                <c:pt idx="2">
                  <c:v>995821</c:v>
                </c:pt>
                <c:pt idx="3">
                  <c:v>1013566</c:v>
                </c:pt>
                <c:pt idx="4">
                  <c:v>1026262</c:v>
                </c:pt>
                <c:pt idx="5">
                  <c:v>1035005</c:v>
                </c:pt>
                <c:pt idx="6">
                  <c:v>1045834</c:v>
                </c:pt>
                <c:pt idx="7">
                  <c:v>1054448</c:v>
                </c:pt>
                <c:pt idx="8">
                  <c:v>1065247</c:v>
                </c:pt>
                <c:pt idx="9">
                  <c:v>1077220</c:v>
                </c:pt>
                <c:pt idx="10">
                  <c:v>1136512</c:v>
                </c:pt>
                <c:pt idx="11">
                  <c:v>1143129</c:v>
                </c:pt>
                <c:pt idx="12">
                  <c:v>1147078</c:v>
                </c:pt>
                <c:pt idx="13">
                  <c:v>1156352</c:v>
                </c:pt>
                <c:pt idx="14">
                  <c:v>1170374</c:v>
                </c:pt>
                <c:pt idx="15" formatCode="General">
                  <c:v>1182779</c:v>
                </c:pt>
                <c:pt idx="16" formatCode="General">
                  <c:v>1188039</c:v>
                </c:pt>
                <c:pt idx="17" formatCode="General">
                  <c:v>1201789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2DD-4058-9284-E071A8063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475768"/>
        <c:axId val="365471848"/>
      </c:lineChart>
      <c:catAx>
        <c:axId val="3654757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65471848"/>
        <c:crosses val="autoZero"/>
        <c:auto val="1"/>
        <c:lblAlgn val="ctr"/>
        <c:lblOffset val="100"/>
        <c:tickLblSkip val="2"/>
        <c:noMultiLvlLbl val="0"/>
      </c:catAx>
      <c:valAx>
        <c:axId val="3654718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5475768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Prognoza</a:t>
            </a:r>
            <a:r>
              <a:rPr lang="pl-PL" baseline="0"/>
              <a:t> średniej powierzchni mieszkań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Charakterystyka!$Z$84</c:f>
              <c:strCache>
                <c:ptCount val="1"/>
                <c:pt idx="0">
                  <c:v>Prognoza średniej powierzchni mieszkań  [m2]</c:v>
                </c:pt>
              </c:strCache>
            </c:strRef>
          </c:tx>
          <c:spPr>
            <a:ln w="31750" cmpd="sng">
              <a:solidFill>
                <a:schemeClr val="accent1"/>
              </a:solidFill>
              <a:prstDash val="sysDash"/>
              <a:tailEnd type="none"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Charakterystyka!$C$5:$Z$5</c15:sqref>
                  </c15:fullRef>
                </c:ext>
              </c:extLst>
              <c:f>Charakterystyka!$E$5:$Z$5</c:f>
              <c:numCache>
                <c:formatCode>0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(Charakterystyka!$C$87:$S$87,Charakterystyka!$T$86,Charakterystyka!$AB$86:$AG$86)</c15:sqref>
                  </c15:fullRef>
                </c:ext>
              </c:extLst>
              <c:f>(Charakterystyka!$E$87:$S$87,Charakterystyka!$T$86,Charakterystyka!$AB$86:$AG$86)</c:f>
              <c:numCache>
                <c:formatCode>General</c:formatCode>
                <c:ptCount val="22"/>
                <c:pt idx="15" formatCode="#\ ##0.0">
                  <c:v>69.798408642118716</c:v>
                </c:pt>
                <c:pt idx="16" formatCode="#\ ##0.0">
                  <c:v>71.584628419549887</c:v>
                </c:pt>
                <c:pt idx="17" formatCode="#\ ##0.0">
                  <c:v>72.024837203941672</c:v>
                </c:pt>
                <c:pt idx="18" formatCode="#\ ##0.0">
                  <c:v>72.471300545947727</c:v>
                </c:pt>
                <c:pt idx="19" formatCode="#\ ##0.0">
                  <c:v>72.913594182877603</c:v>
                </c:pt>
                <c:pt idx="20" formatCode="#\ ##0.0">
                  <c:v>73.356930246076502</c:v>
                </c:pt>
                <c:pt idx="21" formatCode="#\ ##0.0">
                  <c:v>73.800266309275401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5B2-4EC6-BCE4-BBA1315A4652}"/>
            </c:ext>
          </c:extLst>
        </c:ser>
        <c:ser>
          <c:idx val="0"/>
          <c:order val="1"/>
          <c:tx>
            <c:strRef>
              <c:f>Charakterystyka!$B$84</c:f>
              <c:strCache>
                <c:ptCount val="1"/>
                <c:pt idx="0">
                  <c:v>Średnia powierzchnia mieszkań  [m2]</c:v>
                </c:pt>
              </c:strCache>
            </c:strRef>
          </c:tx>
          <c:spPr>
            <a:ln w="31750" cap="rnd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Charakterystyka!$C$5:$Z$5</c15:sqref>
                  </c15:fullRef>
                </c:ext>
              </c:extLst>
              <c:f>Charakterystyka!$E$5:$Z$5</c:f>
              <c:numCache>
                <c:formatCode>0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Charakterystyka!$C$86:$T$86</c15:sqref>
                  </c15:fullRef>
                </c:ext>
              </c:extLst>
              <c:f>Charakterystyka!$E$86:$T$86</c:f>
              <c:numCache>
                <c:formatCode>#\ ##0.0</c:formatCode>
                <c:ptCount val="16"/>
                <c:pt idx="0">
                  <c:v>65.8</c:v>
                </c:pt>
                <c:pt idx="1">
                  <c:v>66.2</c:v>
                </c:pt>
                <c:pt idx="2">
                  <c:v>66.5</c:v>
                </c:pt>
                <c:pt idx="3">
                  <c:v>66.7</c:v>
                </c:pt>
                <c:pt idx="4">
                  <c:v>66.900000000000006</c:v>
                </c:pt>
                <c:pt idx="5">
                  <c:v>67.2</c:v>
                </c:pt>
                <c:pt idx="6">
                  <c:v>67.3</c:v>
                </c:pt>
                <c:pt idx="7">
                  <c:v>67.7</c:v>
                </c:pt>
                <c:pt idx="8">
                  <c:v>69.599999999999994</c:v>
                </c:pt>
                <c:pt idx="9">
                  <c:v>69.8</c:v>
                </c:pt>
                <c:pt idx="10">
                  <c:v>69.900000000000006</c:v>
                </c:pt>
                <c:pt idx="11">
                  <c:v>69.900000000000006</c:v>
                </c:pt>
                <c:pt idx="12">
                  <c:v>69.900000000000006</c:v>
                </c:pt>
                <c:pt idx="13">
                  <c:v>69.788706632050975</c:v>
                </c:pt>
                <c:pt idx="14">
                  <c:v>69.884647058823532</c:v>
                </c:pt>
                <c:pt idx="15">
                  <c:v>69.798408642118716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5B2-4EC6-BCE4-BBA1315A4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476944"/>
        <c:axId val="365472240"/>
      </c:lineChart>
      <c:catAx>
        <c:axId val="36547694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65472240"/>
        <c:crosses val="autoZero"/>
        <c:auto val="1"/>
        <c:lblAlgn val="ctr"/>
        <c:lblOffset val="100"/>
        <c:tickLblSkip val="2"/>
        <c:noMultiLvlLbl val="0"/>
      </c:catAx>
      <c:valAx>
        <c:axId val="36547224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547694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Prognoza</a:t>
            </a:r>
            <a:r>
              <a:rPr lang="pl-PL" baseline="0"/>
              <a:t> </a:t>
            </a:r>
            <a:r>
              <a:rPr lang="pl-PL" b="1" baseline="0"/>
              <a:t>ilości</a:t>
            </a:r>
            <a:r>
              <a:rPr lang="pl-PL" sz="1800" b="1" i="0" baseline="0"/>
              <a:t> podmiotów gospodarczych zarejestrowanych na terenie gminy</a:t>
            </a:r>
            <a:endParaRPr lang="pl-PL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Charakterystyka!$Z$103</c:f>
              <c:strCache>
                <c:ptCount val="1"/>
                <c:pt idx="0">
                  <c:v>Prognoza zarejestrowanych podmiotów gospodarczych</c:v>
                </c:pt>
              </c:strCache>
            </c:strRef>
          </c:tx>
          <c:spPr>
            <a:ln w="31750" cmpd="sng">
              <a:solidFill>
                <a:schemeClr val="accent5"/>
              </a:solidFill>
              <a:prstDash val="sysDash"/>
              <a:tailEnd type="none"/>
            </a:ln>
            <a:effectLst/>
          </c:spPr>
          <c:marker>
            <c:symbol val="none"/>
          </c:marker>
          <c:cat>
            <c:numRef>
              <c:f>Charakterystyka!$C$5:$Z$5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(Charakterystyka!$C$106:$S$106,Charakterystyka!$T$105,Charakterystyka!$AB$105:$AG$105)</c:f>
              <c:numCache>
                <c:formatCode>General</c:formatCode>
                <c:ptCount val="24"/>
                <c:pt idx="17" formatCode="#,##0">
                  <c:v>4466</c:v>
                </c:pt>
                <c:pt idx="18" formatCode="#,##0">
                  <c:v>4637</c:v>
                </c:pt>
                <c:pt idx="19" formatCode="#,##0">
                  <c:v>4663</c:v>
                </c:pt>
                <c:pt idx="20" formatCode="#,##0">
                  <c:v>4689</c:v>
                </c:pt>
                <c:pt idx="21" formatCode="#,##0">
                  <c:v>4715</c:v>
                </c:pt>
                <c:pt idx="22" formatCode="#,##0">
                  <c:v>4741</c:v>
                </c:pt>
                <c:pt idx="23" formatCode="#,##0">
                  <c:v>4767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ED5-4763-9200-7CE91C37C214}"/>
            </c:ext>
          </c:extLst>
        </c:ser>
        <c:ser>
          <c:idx val="0"/>
          <c:order val="1"/>
          <c:tx>
            <c:strRef>
              <c:f>Charakterystyka!$B$103</c:f>
              <c:strCache>
                <c:ptCount val="1"/>
                <c:pt idx="0">
                  <c:v>Zarejestrowane podmioty gospodarcze</c:v>
                </c:pt>
              </c:strCache>
            </c:strRef>
          </c:tx>
          <c:spPr>
            <a:ln w="31750" cap="rnd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Charakterystyka!$C$5:$Z$5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Charakterystyka!$C$105:$T$105</c:f>
              <c:numCache>
                <c:formatCode>#,##0</c:formatCode>
                <c:ptCount val="18"/>
                <c:pt idx="0">
                  <c:v>4579</c:v>
                </c:pt>
                <c:pt idx="1">
                  <c:v>4641</c:v>
                </c:pt>
                <c:pt idx="2">
                  <c:v>4606</c:v>
                </c:pt>
                <c:pt idx="3">
                  <c:v>4585</c:v>
                </c:pt>
                <c:pt idx="4">
                  <c:v>4431</c:v>
                </c:pt>
                <c:pt idx="5">
                  <c:v>4461</c:v>
                </c:pt>
                <c:pt idx="6">
                  <c:v>4487</c:v>
                </c:pt>
                <c:pt idx="7">
                  <c:v>4529</c:v>
                </c:pt>
                <c:pt idx="8">
                  <c:v>4554</c:v>
                </c:pt>
                <c:pt idx="9">
                  <c:v>4405</c:v>
                </c:pt>
                <c:pt idx="10">
                  <c:v>4521</c:v>
                </c:pt>
                <c:pt idx="11">
                  <c:v>4426</c:v>
                </c:pt>
                <c:pt idx="12">
                  <c:v>4468</c:v>
                </c:pt>
                <c:pt idx="13">
                  <c:v>4541</c:v>
                </c:pt>
                <c:pt idx="14">
                  <c:v>4533</c:v>
                </c:pt>
                <c:pt idx="15">
                  <c:v>4559</c:v>
                </c:pt>
                <c:pt idx="16">
                  <c:v>4556</c:v>
                </c:pt>
                <c:pt idx="17">
                  <c:v>4466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ED5-4763-9200-7CE91C37C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475376"/>
        <c:axId val="365477336"/>
      </c:lineChart>
      <c:catAx>
        <c:axId val="3654753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65477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47733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5475376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Prognoza</a:t>
            </a:r>
            <a:r>
              <a:rPr lang="pl-PL" baseline="0"/>
              <a:t> ilości mieszkań z dost. do gazu sieciowego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Charakterystyka!$Z$122</c:f>
              <c:strCache>
                <c:ptCount val="1"/>
                <c:pt idx="0">
                  <c:v>Prognoza ilości mieszkań z dost. do gazu sieciowego</c:v>
                </c:pt>
              </c:strCache>
            </c:strRef>
          </c:tx>
          <c:spPr>
            <a:ln w="31750" cmpd="sng">
              <a:solidFill>
                <a:schemeClr val="accent1"/>
              </a:solidFill>
              <a:prstDash val="sysDash"/>
              <a:tailEnd type="none"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Charakterystyka!$C$5:$Z$5</c15:sqref>
                  </c15:fullRef>
                </c:ext>
              </c:extLst>
              <c:f>Charakterystyka!$E$5:$Z$5</c:f>
              <c:numCache>
                <c:formatCode>0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(Charakterystyka!$C$125:$S$125,Charakterystyka!$T$124,Charakterystyka!$AB$124:$AG$124)</c15:sqref>
                  </c15:fullRef>
                </c:ext>
              </c:extLst>
              <c:f>(Charakterystyka!$E$125:$S$125,Charakterystyka!$T$124,Charakterystyka!$AB$124:$AG$124)</c:f>
              <c:numCache>
                <c:formatCode>General</c:formatCode>
                <c:ptCount val="22"/>
                <c:pt idx="15" formatCode="#,##0">
                  <c:v>13975.4395604396</c:v>
                </c:pt>
                <c:pt idx="16" formatCode="#,##0">
                  <c:v>13769</c:v>
                </c:pt>
                <c:pt idx="17" formatCode="#,##0">
                  <c:v>13769</c:v>
                </c:pt>
                <c:pt idx="18" formatCode="#,##0">
                  <c:v>13769</c:v>
                </c:pt>
                <c:pt idx="19" formatCode="#,##0">
                  <c:v>13769</c:v>
                </c:pt>
                <c:pt idx="20" formatCode="#,##0">
                  <c:v>13769</c:v>
                </c:pt>
                <c:pt idx="21" formatCode="#,##0">
                  <c:v>13769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ED0-4FEF-8152-2900ABC844FC}"/>
            </c:ext>
          </c:extLst>
        </c:ser>
        <c:ser>
          <c:idx val="0"/>
          <c:order val="1"/>
          <c:tx>
            <c:strRef>
              <c:f>Charakterystyka!$B$122</c:f>
              <c:strCache>
                <c:ptCount val="1"/>
                <c:pt idx="0">
                  <c:v>Mieszkania z dostępem do gazu sieciowego</c:v>
                </c:pt>
              </c:strCache>
            </c:strRef>
          </c:tx>
          <c:spPr>
            <a:ln w="31750" cap="rnd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Charakterystyka!$C$5:$Z$5</c15:sqref>
                  </c15:fullRef>
                </c:ext>
              </c:extLst>
              <c:f>Charakterystyka!$E$5:$Z$5</c:f>
              <c:numCache>
                <c:formatCode>0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Charakterystyka!$C$124:$T$124</c15:sqref>
                  </c15:fullRef>
                </c:ext>
              </c:extLst>
              <c:f>Charakterystyka!$E$124:$T$124</c:f>
              <c:numCache>
                <c:formatCode>#,##0</c:formatCode>
                <c:ptCount val="16"/>
                <c:pt idx="0">
                  <c:v>11538</c:v>
                </c:pt>
                <c:pt idx="1">
                  <c:v>11677</c:v>
                </c:pt>
                <c:pt idx="2">
                  <c:v>11716</c:v>
                </c:pt>
                <c:pt idx="3">
                  <c:v>11749</c:v>
                </c:pt>
                <c:pt idx="4">
                  <c:v>11850</c:v>
                </c:pt>
                <c:pt idx="5">
                  <c:v>12469</c:v>
                </c:pt>
                <c:pt idx="6">
                  <c:v>12495</c:v>
                </c:pt>
                <c:pt idx="7">
                  <c:v>12661</c:v>
                </c:pt>
                <c:pt idx="8">
                  <c:v>12875</c:v>
                </c:pt>
                <c:pt idx="9">
                  <c:v>12928</c:v>
                </c:pt>
                <c:pt idx="10">
                  <c:v>12949</c:v>
                </c:pt>
                <c:pt idx="11">
                  <c:v>13062</c:v>
                </c:pt>
                <c:pt idx="12">
                  <c:v>13769</c:v>
                </c:pt>
                <c:pt idx="13">
                  <c:v>13634.538461538499</c:v>
                </c:pt>
                <c:pt idx="14">
                  <c:v>13804.989010989</c:v>
                </c:pt>
                <c:pt idx="15">
                  <c:v>13975.4395604396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ED0-4FEF-8152-2900ABC84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710440"/>
        <c:axId val="364713576"/>
      </c:lineChart>
      <c:catAx>
        <c:axId val="36471044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64713576"/>
        <c:crosses val="autoZero"/>
        <c:auto val="1"/>
        <c:lblAlgn val="ctr"/>
        <c:lblOffset val="100"/>
        <c:tickLblSkip val="2"/>
        <c:noMultiLvlLbl val="0"/>
      </c:catAx>
      <c:valAx>
        <c:axId val="36471357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4710440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05-4C3F-B6D5-6936DDF9D662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05-4C3F-B6D5-6936DDF9D662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05-4C3F-B6D5-6936DDF9D662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05-4C3F-B6D5-6936DDF9D662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405-4C3F-B6D5-6936DDF9D662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405-4C3F-B6D5-6936DDF9D662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405-4C3F-B6D5-6936DDF9D662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405-4C3F-B6D5-6936DDF9D662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405-4C3F-B6D5-6936DDF9D662}"/>
              </c:ext>
            </c:extLst>
          </c:dPt>
          <c:cat>
            <c:strRef>
              <c:f>Arkusz2!$E$5:$E$13</c:f>
              <c:strCache>
                <c:ptCount val="9"/>
                <c:pt idx="0">
                  <c:v>przed 1918</c:v>
                </c:pt>
                <c:pt idx="1">
                  <c:v>1918-1944</c:v>
                </c:pt>
                <c:pt idx="2">
                  <c:v>1945-1970</c:v>
                </c:pt>
                <c:pt idx="3">
                  <c:v>1971-1978</c:v>
                </c:pt>
                <c:pt idx="4">
                  <c:v>1979-1988</c:v>
                </c:pt>
                <c:pt idx="5">
                  <c:v>1989-2002</c:v>
                </c:pt>
                <c:pt idx="6">
                  <c:v>2003-2007</c:v>
                </c:pt>
                <c:pt idx="7">
                  <c:v>2008-2011</c:v>
                </c:pt>
                <c:pt idx="8">
                  <c:v>po 2011</c:v>
                </c:pt>
              </c:strCache>
            </c:strRef>
          </c:cat>
          <c:val>
            <c:numRef>
              <c:f>Arkusz2!$G$5:$G$13</c:f>
              <c:numCache>
                <c:formatCode>0.00%</c:formatCode>
                <c:ptCount val="9"/>
                <c:pt idx="0">
                  <c:v>2.259810554803789E-2</c:v>
                </c:pt>
                <c:pt idx="1">
                  <c:v>5.5751014884979702E-2</c:v>
                </c:pt>
                <c:pt idx="2">
                  <c:v>0.29309878213802437</c:v>
                </c:pt>
                <c:pt idx="3">
                  <c:v>0.19228687415426252</c:v>
                </c:pt>
                <c:pt idx="4">
                  <c:v>0.1162381596752368</c:v>
                </c:pt>
                <c:pt idx="5">
                  <c:v>0.14303112313937755</c:v>
                </c:pt>
                <c:pt idx="6">
                  <c:v>8.213802435723952E-2</c:v>
                </c:pt>
                <c:pt idx="7">
                  <c:v>4.8985115020297697E-2</c:v>
                </c:pt>
                <c:pt idx="8">
                  <c:v>4.5900000000000003E-2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05-4C3F-B6D5-6936DDF9D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724562554680665"/>
          <c:y val="0.82291557305336838"/>
          <c:w val="0.74717519685039357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1FD-4275-9A81-0EFEAF5EE3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1FD-4275-9A81-0EFEAF5EE3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1FD-4275-9A81-0EFEAF5EE3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1FD-4275-9A81-0EFEAF5EE30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1FD-4275-9A81-0EFEAF5EE30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1FD-4275-9A81-0EFEAF5EE30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1FD-4275-9A81-0EFEAF5EE30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1FD-4275-9A81-0EFEAF5EE30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1FD-4275-9A81-0EFEAF5EE30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1FD-4275-9A81-0EFEAF5EE30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1FD-4275-9A81-0EFEAF5EE30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1FD-4275-9A81-0EFEAF5EE30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1FD-4275-9A81-0EFEAF5EE30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1FD-4275-9A81-0EFEAF5EE30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1FD-4275-9A81-0EFEAF5EE30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1FD-4275-9A81-0EFEAF5EE30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1FD-4275-9A81-0EFEAF5EE300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1FD-4275-9A81-0EFEAF5EE30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1FD-4275-9A81-0EFEAF5EE300}"/>
              </c:ext>
            </c:extLst>
          </c:dPt>
          <c:cat>
            <c:strRef>
              <c:f>Arkusz1!$E$3:$E$21</c:f>
              <c:strCache>
                <c:ptCount val="1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SiT</c:v>
                </c:pt>
              </c:strCache>
            </c:strRef>
          </c:cat>
          <c:val>
            <c:numRef>
              <c:f>Arkusz1!$G$3:$G$21</c:f>
              <c:numCache>
                <c:formatCode>0.00%</c:formatCode>
                <c:ptCount val="19"/>
                <c:pt idx="0">
                  <c:v>3.0125523012552303E-3</c:v>
                </c:pt>
                <c:pt idx="1">
                  <c:v>2.1757322175732217E-3</c:v>
                </c:pt>
                <c:pt idx="2">
                  <c:v>6.3598326359832633E-2</c:v>
                </c:pt>
                <c:pt idx="3">
                  <c:v>1.0041841004184101E-3</c:v>
                </c:pt>
                <c:pt idx="4">
                  <c:v>3.1799163179916318E-3</c:v>
                </c:pt>
                <c:pt idx="5">
                  <c:v>0.10577405857740586</c:v>
                </c:pt>
                <c:pt idx="6">
                  <c:v>0.32418410041841006</c:v>
                </c:pt>
                <c:pt idx="7">
                  <c:v>5.4393305439330547E-2</c:v>
                </c:pt>
                <c:pt idx="8">
                  <c:v>3.7489539748953978E-2</c:v>
                </c:pt>
                <c:pt idx="9">
                  <c:v>2.4267782426778243E-2</c:v>
                </c:pt>
                <c:pt idx="10">
                  <c:v>4.5355648535564855E-2</c:v>
                </c:pt>
                <c:pt idx="11">
                  <c:v>3.3640167364016739E-2</c:v>
                </c:pt>
                <c:pt idx="12">
                  <c:v>6.6108786610878656E-2</c:v>
                </c:pt>
                <c:pt idx="13">
                  <c:v>2.4100418410041843E-2</c:v>
                </c:pt>
                <c:pt idx="14">
                  <c:v>2.677824267782427E-3</c:v>
                </c:pt>
                <c:pt idx="15">
                  <c:v>5.2552301255230124E-2</c:v>
                </c:pt>
                <c:pt idx="16">
                  <c:v>5.3723849372384939E-2</c:v>
                </c:pt>
                <c:pt idx="17">
                  <c:v>2.3765690376569039E-2</c:v>
                </c:pt>
                <c:pt idx="18">
                  <c:v>7.8995815899581587E-2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D1FD-4275-9A81-0EFEAF5EE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Zużycie energii elektrycznej - emisja CO</a:t>
            </a:r>
            <a:r>
              <a:rPr lang="pl-PL" baseline="-25000"/>
              <a:t>2</a:t>
            </a:r>
            <a:r>
              <a:rPr lang="pl-PL"/>
              <a:t> [Mg CO</a:t>
            </a:r>
            <a:r>
              <a:rPr lang="pl-PL" baseline="-25000"/>
              <a:t>2</a:t>
            </a:r>
            <a:r>
              <a:rPr lang="pl-PL"/>
              <a:t>]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'En. elektryczna'!#REF!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('En. elektryczna'!$B$4,'En. elektryczna'!$B$11,'En. elektryczna'!$B$25:$D$25)</c:f>
              <c:strCache>
                <c:ptCount val="3"/>
                <c:pt idx="0">
                  <c:v>rok 2005</c:v>
                </c:pt>
                <c:pt idx="1">
                  <c:v>rok 2014</c:v>
                </c:pt>
                <c:pt idx="2">
                  <c:v>rok 2020 - prognoza</c:v>
                </c:pt>
              </c:strCache>
            </c:strRef>
          </c:cat>
          <c:val>
            <c:numRef>
              <c:f>('En. elektryczna'!#REF!,'En. elektryczna'!#REF!,'En. elektryczna'!#REF!)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F2-4862-8EAC-1C7A5232A366}"/>
            </c:ext>
          </c:extLst>
        </c:ser>
        <c:ser>
          <c:idx val="1"/>
          <c:order val="1"/>
          <c:tx>
            <c:strRef>
              <c:f>'En. elektryczna'!$B$6</c:f>
              <c:strCache>
                <c:ptCount val="1"/>
                <c:pt idx="0">
                  <c:v>Przemysł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('En. elektryczna'!$B$4,'En. elektryczna'!$B$11,'En. elektryczna'!$B$25:$D$25)</c:f>
              <c:strCache>
                <c:ptCount val="3"/>
                <c:pt idx="0">
                  <c:v>rok 2005</c:v>
                </c:pt>
                <c:pt idx="1">
                  <c:v>rok 2014</c:v>
                </c:pt>
                <c:pt idx="2">
                  <c:v>rok 2020 - prognoza</c:v>
                </c:pt>
              </c:strCache>
            </c:strRef>
          </c:cat>
          <c:val>
            <c:numRef>
              <c:f>('En. elektryczna'!$E$6,'En. elektryczna'!$E$13,'En. elektryczna'!$E$27)</c:f>
              <c:numCache>
                <c:formatCode>0.00</c:formatCode>
                <c:ptCount val="3"/>
                <c:pt idx="0">
                  <c:v>78328.768000000011</c:v>
                </c:pt>
                <c:pt idx="1">
                  <c:v>68897.282439999995</c:v>
                </c:pt>
                <c:pt idx="2">
                  <c:v>80745.299932690294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F2-4862-8EAC-1C7A5232A366}"/>
            </c:ext>
          </c:extLst>
        </c:ser>
        <c:ser>
          <c:idx val="2"/>
          <c:order val="2"/>
          <c:tx>
            <c:strRef>
              <c:f>'En. elektryczna'!$B$8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('En. elektryczna'!$B$4,'En. elektryczna'!$B$11,'En. elektryczna'!$B$25:$D$25)</c:f>
              <c:strCache>
                <c:ptCount val="3"/>
                <c:pt idx="0">
                  <c:v>rok 2005</c:v>
                </c:pt>
                <c:pt idx="1">
                  <c:v>rok 2014</c:v>
                </c:pt>
                <c:pt idx="2">
                  <c:v>rok 2020 - prognoza</c:v>
                </c:pt>
              </c:strCache>
            </c:strRef>
          </c:cat>
          <c:val>
            <c:numRef>
              <c:f>('En. elektryczna'!$E$8,'En. elektryczna'!$E$15,'En. elektryczna'!$E$29)</c:f>
              <c:numCache>
                <c:formatCode>0.00</c:formatCode>
                <c:ptCount val="3"/>
                <c:pt idx="0">
                  <c:v>38872.224000000002</c:v>
                </c:pt>
                <c:pt idx="1">
                  <c:v>41566.523600000008</c:v>
                </c:pt>
                <c:pt idx="2">
                  <c:v>48714.454040000004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F2-4862-8EAC-1C7A5232A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2847856"/>
        <c:axId val="362847072"/>
      </c:barChart>
      <c:catAx>
        <c:axId val="362847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2847072"/>
        <c:crosses val="autoZero"/>
        <c:auto val="1"/>
        <c:lblAlgn val="ctr"/>
        <c:lblOffset val="100"/>
        <c:noMultiLvlLbl val="0"/>
      </c:catAx>
      <c:valAx>
        <c:axId val="36284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284785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Zużycie energii elektrycznej [MWh]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'En. elektryczna'!#REF!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('En. elektryczna'!$B$4,'En. elektryczna'!$B$11,'En. elektryczna'!$B$25:$D$25)</c:f>
              <c:strCache>
                <c:ptCount val="3"/>
                <c:pt idx="0">
                  <c:v>rok 2005</c:v>
                </c:pt>
                <c:pt idx="1">
                  <c:v>rok 2014</c:v>
                </c:pt>
                <c:pt idx="2">
                  <c:v>rok 2020 - prognoza</c:v>
                </c:pt>
              </c:strCache>
            </c:strRef>
          </c:cat>
          <c:val>
            <c:numRef>
              <c:f>('En. elektryczna'!#REF!,'En. elektryczna'!#REF!,'En. elektryczna'!#REF!)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2-4700-A244-80E64BFD9D27}"/>
            </c:ext>
          </c:extLst>
        </c:ser>
        <c:ser>
          <c:idx val="1"/>
          <c:order val="1"/>
          <c:tx>
            <c:strRef>
              <c:f>'En. elektryczna'!$B$6</c:f>
              <c:strCache>
                <c:ptCount val="1"/>
                <c:pt idx="0">
                  <c:v>Przemysł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('En. elektryczna'!$B$4,'En. elektryczna'!$B$11,'En. elektryczna'!$B$25:$D$25)</c:f>
              <c:strCache>
                <c:ptCount val="3"/>
                <c:pt idx="0">
                  <c:v>rok 2005</c:v>
                </c:pt>
                <c:pt idx="1">
                  <c:v>rok 2014</c:v>
                </c:pt>
                <c:pt idx="2">
                  <c:v>rok 2020 - prognoza</c:v>
                </c:pt>
              </c:strCache>
            </c:strRef>
          </c:cat>
          <c:val>
            <c:numRef>
              <c:f>('En. elektryczna'!$C$6,'En. elektryczna'!$C$13,'En. elektryczna'!$C$27)</c:f>
              <c:numCache>
                <c:formatCode>0.00</c:formatCode>
                <c:ptCount val="3"/>
                <c:pt idx="0">
                  <c:v>96464</c:v>
                </c:pt>
                <c:pt idx="1">
                  <c:v>84848.87</c:v>
                </c:pt>
                <c:pt idx="2">
                  <c:v>99440.024547648136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2-4700-A244-80E64BFD9D27}"/>
            </c:ext>
          </c:extLst>
        </c:ser>
        <c:ser>
          <c:idx val="2"/>
          <c:order val="2"/>
          <c:tx>
            <c:strRef>
              <c:f>'En. elektryczna'!$B$8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('En. elektryczna'!$B$4,'En. elektryczna'!$B$11,'En. elektryczna'!$B$25:$D$25)</c:f>
              <c:strCache>
                <c:ptCount val="3"/>
                <c:pt idx="0">
                  <c:v>rok 2005</c:v>
                </c:pt>
                <c:pt idx="1">
                  <c:v>rok 2014</c:v>
                </c:pt>
                <c:pt idx="2">
                  <c:v>rok 2020 - prognoza</c:v>
                </c:pt>
              </c:strCache>
            </c:strRef>
          </c:cat>
          <c:val>
            <c:numRef>
              <c:f>('En. elektryczna'!$C$8,'En. elektryczna'!$C$15,'En. elektryczna'!$C$29)</c:f>
              <c:numCache>
                <c:formatCode>0.00</c:formatCode>
                <c:ptCount val="3"/>
                <c:pt idx="0">
                  <c:v>47990.400000000001</c:v>
                </c:pt>
                <c:pt idx="1">
                  <c:v>51190.3</c:v>
                </c:pt>
                <c:pt idx="2">
                  <c:v>59993.17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32-4700-A244-80E64BFD9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2843544"/>
        <c:axId val="362849816"/>
      </c:barChart>
      <c:catAx>
        <c:axId val="362843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2849816"/>
        <c:crosses val="autoZero"/>
        <c:auto val="1"/>
        <c:lblAlgn val="ctr"/>
        <c:lblOffset val="100"/>
        <c:noMultiLvlLbl val="0"/>
      </c:catAx>
      <c:valAx>
        <c:axId val="36284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2843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Prognoza zużycia energii elektrycznej [MWh]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'En. elektryczna'!$E$33</c:f>
              <c:strCache>
                <c:ptCount val="1"/>
                <c:pt idx="0">
                  <c:v>Prognozowane zużycie energii elektrycznej [MWh]</c:v>
                </c:pt>
              </c:strCache>
            </c:strRef>
          </c:tx>
          <c:spPr>
            <a:ln w="31750">
              <a:solidFill>
                <a:srgbClr val="FF7E00"/>
              </a:solidFill>
              <a:prstDash val="sysDash"/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'En. elektryczna'!$B$34:$B$40</c15:sqref>
                  </c15:fullRef>
                </c:ext>
              </c:extLst>
              <c:f>'En. elektryczna'!$B$35:$B$40</c:f>
              <c:numCache>
                <c:formatCode>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('En. elektryczna'!$D$34,'En. elektryczna'!$E$35:$E$40)</c15:sqref>
                  </c15:fullRef>
                </c:ext>
              </c:extLst>
              <c:f>'En. elektryczna'!$E$35:$E$40</c:f>
              <c:numCache>
                <c:formatCode>0.00</c:formatCode>
                <c:ptCount val="6"/>
                <c:pt idx="0">
                  <c:v>152825.41061200001</c:v>
                </c:pt>
                <c:pt idx="1">
                  <c:v>156921.1316164016</c:v>
                </c:pt>
                <c:pt idx="2">
                  <c:v>161126.61794372115</c:v>
                </c:pt>
                <c:pt idx="3">
                  <c:v>165444.81130461287</c:v>
                </c:pt>
                <c:pt idx="4">
                  <c:v>169878.7322475765</c:v>
                </c:pt>
                <c:pt idx="5">
                  <c:v>174431.48227181155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6-4897-A1A0-086117898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846680"/>
        <c:axId val="362846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'En. elektryczna'!$D$33</c15:sqref>
                        </c15:formulaRef>
                      </c:ext>
                    </c:extLst>
                    <c:strCache>
                      <c:ptCount val="1"/>
                      <c:pt idx="0">
                        <c:v>Faktyczne zużycie energii elektrycznej [MWh]</c:v>
                      </c:pt>
                    </c:strCache>
                  </c:strRef>
                </c:tx>
                <c:spPr>
                  <a:ln w="31750">
                    <a:solidFill>
                      <a:schemeClr val="accent5"/>
                    </a:solidFill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'En. elektryczna'!$B$34:$B$40</c15:sqref>
                        </c15:fullRef>
                        <c15:formulaRef>
                          <c15:sqref>'En. elektryczna'!$B$35:$B$40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'En. elektryczna'!$D$34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0.00</c:formatCode>
                      <c:ptCount val="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A7F6-4897-A1A0-086117898356}"/>
                  </c:ext>
                </c:extLst>
              </c15:ser>
            </c15:filteredLineSeries>
          </c:ext>
        </c:extLst>
      </c:lineChart>
      <c:catAx>
        <c:axId val="362846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2846288"/>
        <c:crosses val="autoZero"/>
        <c:auto val="1"/>
        <c:lblAlgn val="ctr"/>
        <c:lblOffset val="100"/>
        <c:tickLblSkip val="1"/>
        <c:noMultiLvlLbl val="0"/>
      </c:catAx>
      <c:valAx>
        <c:axId val="362846288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362846680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Zużycie gazu</a:t>
            </a:r>
            <a:r>
              <a:rPr lang="pl-PL" baseline="0"/>
              <a:t> </a:t>
            </a:r>
            <a:r>
              <a:rPr lang="pl-PL"/>
              <a:t>- emisja CO</a:t>
            </a:r>
            <a:r>
              <a:rPr lang="pl-PL" baseline="-25000"/>
              <a:t>2</a:t>
            </a:r>
            <a:r>
              <a:rPr lang="pl-PL"/>
              <a:t> [Mg CO</a:t>
            </a:r>
            <a:r>
              <a:rPr lang="pl-PL" baseline="-25000"/>
              <a:t>2</a:t>
            </a:r>
            <a:r>
              <a:rPr lang="pl-PL"/>
              <a:t>]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Gaz!$B$6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(Gaz!$B$11,Gaz!$B$25)</c:f>
              <c:strCache>
                <c:ptCount val="2"/>
                <c:pt idx="0">
                  <c:v>rok 2014</c:v>
                </c:pt>
                <c:pt idx="1">
                  <c:v>rok 2020 - prognoza</c:v>
                </c:pt>
              </c:strCache>
              <c:extLst/>
            </c:strRef>
          </c:cat>
          <c:val>
            <c:numRef>
              <c:f>(Gaz!$I$13,Gaz!$H$27)</c:f>
              <c:numCache>
                <c:formatCode>" "#\ ##0.00"    ";"-"#\ ##0.00"    ";" -"00"    ";" "@" "</c:formatCode>
                <c:ptCount val="2"/>
                <c:pt idx="0">
                  <c:v>13541.33605</c:v>
                </c:pt>
                <c:pt idx="1">
                  <c:v>14868.057453920073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373F-46B1-BC39-503BFB389ED7}"/>
            </c:ext>
          </c:extLst>
        </c:ser>
        <c:ser>
          <c:idx val="1"/>
          <c:order val="1"/>
          <c:tx>
            <c:strRef>
              <c:f>Gaz!$B$7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(Gaz!$B$11,Gaz!$B$25)</c:f>
              <c:strCache>
                <c:ptCount val="2"/>
                <c:pt idx="0">
                  <c:v>rok 2014</c:v>
                </c:pt>
                <c:pt idx="1">
                  <c:v>rok 2020 - prognoza</c:v>
                </c:pt>
              </c:strCache>
              <c:extLst/>
            </c:strRef>
          </c:cat>
          <c:val>
            <c:numRef>
              <c:f>(Gaz!$I$14,Gaz!$H$28)</c:f>
              <c:numCache>
                <c:formatCode>" "#\ ##0.00"    ";"-"#\ ##0.00"    ";" -"00"    ";" "@" "</c:formatCode>
                <c:ptCount val="2"/>
                <c:pt idx="0">
                  <c:v>34305.798450000002</c:v>
                </c:pt>
                <c:pt idx="1">
                  <c:v>37666.931865057893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373F-46B1-BC39-503BFB389ED7}"/>
            </c:ext>
          </c:extLst>
        </c:ser>
        <c:ser>
          <c:idx val="2"/>
          <c:order val="2"/>
          <c:tx>
            <c:strRef>
              <c:f>Gaz!$B$8</c:f>
              <c:strCache>
                <c:ptCount val="1"/>
                <c:pt idx="0">
                  <c:v>Handel i Usługi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(Gaz!$B$11,Gaz!$B$25)</c:f>
              <c:strCache>
                <c:ptCount val="2"/>
                <c:pt idx="0">
                  <c:v>rok 2014</c:v>
                </c:pt>
                <c:pt idx="1">
                  <c:v>rok 2020 - prognoza</c:v>
                </c:pt>
              </c:strCache>
              <c:extLst/>
            </c:strRef>
          </c:cat>
          <c:val>
            <c:numRef>
              <c:f>(Gaz!$I$15,Gaz!$H$29)</c:f>
              <c:numCache>
                <c:formatCode>" "#\ ##0.00"    ";"-"#\ ##0.00"    ";" -"00"    ";" "@" "</c:formatCode>
                <c:ptCount val="2"/>
                <c:pt idx="0">
                  <c:v>4654.8535000000002</c:v>
                </c:pt>
                <c:pt idx="1">
                  <c:v>5110.915866945119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373F-46B1-BC39-503BFB389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2842368"/>
        <c:axId val="362842760"/>
        <c:extLst>
          <c:ext xmlns:c15="http://schemas.microsoft.com/office/drawing/2012/chart" uri="{02D57815-91ED-43cb-92C2-25804820EDAC}">
            <c15:filteredBar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Gaz!#REF!</c15:sqref>
                        </c15:formulaRef>
                      </c:ext>
                    </c:extLst>
                    <c:strCache>
                      <c:ptCount val="1"/>
                      <c:pt idx="0">
                        <c:v>Pozostali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(Gaz!$B$11,Gaz!$B$25)</c15:sqref>
                        </c15:formulaRef>
                      </c:ext>
                    </c:extLst>
                    <c:strCache>
                      <c:ptCount val="2"/>
                      <c:pt idx="0">
                        <c:v>rok 2014</c:v>
                      </c:pt>
                      <c:pt idx="1">
                        <c:v>rok 2020 - prognoza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(Gaz!#REF!,Gaz!#REF!,Gaz!#REF!)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3-373F-46B1-BC39-503BFB389ED7}"/>
                  </c:ext>
                </c:extLst>
              </c15:ser>
            </c15:filteredBarSeries>
          </c:ext>
        </c:extLst>
      </c:barChart>
      <c:catAx>
        <c:axId val="362842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2842760"/>
        <c:crosses val="autoZero"/>
        <c:auto val="1"/>
        <c:lblAlgn val="ctr"/>
        <c:lblOffset val="100"/>
        <c:noMultiLvlLbl val="0"/>
      </c:catAx>
      <c:valAx>
        <c:axId val="3628427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2842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Liczba </a:t>
            </a:r>
            <a:r>
              <a:rPr lang="pl-PL"/>
              <a:t>nowych mieszkań oddanych do użytku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Charakterystyka!$B$46</c:f>
              <c:strCache>
                <c:ptCount val="1"/>
                <c:pt idx="0">
                  <c:v>Liczba nowych mieszkań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Charakterystyka!$H$47:$T$47</c15:sqref>
                  </c15:fullRef>
                </c:ext>
              </c:extLst>
              <c:f>Charakterystyka!$M$47:$T$47</c:f>
              <c:numCache>
                <c:formatCode>0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Charakterystyka!$H$48:$T$48</c15:sqref>
                  </c15:fullRef>
                </c:ext>
              </c:extLst>
              <c:f>Charakterystyka!$M$48:$T$48</c:f>
              <c:numCache>
                <c:formatCode>#,##0</c:formatCode>
                <c:ptCount val="8"/>
                <c:pt idx="0">
                  <c:v>202</c:v>
                </c:pt>
                <c:pt idx="1">
                  <c:v>75</c:v>
                </c:pt>
                <c:pt idx="2">
                  <c:v>45</c:v>
                </c:pt>
                <c:pt idx="3">
                  <c:v>145</c:v>
                </c:pt>
                <c:pt idx="4">
                  <c:v>221</c:v>
                </c:pt>
                <c:pt idx="5">
                  <c:v>210</c:v>
                </c:pt>
                <c:pt idx="6">
                  <c:v>68</c:v>
                </c:pt>
                <c:pt idx="7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BC-4FA2-B446-010C68C33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712008"/>
        <c:axId val="364708480"/>
      </c:barChart>
      <c:catAx>
        <c:axId val="3647120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64708480"/>
        <c:crosses val="autoZero"/>
        <c:auto val="1"/>
        <c:lblAlgn val="ctr"/>
        <c:lblOffset val="100"/>
        <c:noMultiLvlLbl val="0"/>
      </c:catAx>
      <c:valAx>
        <c:axId val="3647084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647120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Prognoza zużycia gazu [GJ]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Gaz!$D$33</c:f>
              <c:strCache>
                <c:ptCount val="1"/>
                <c:pt idx="0">
                  <c:v>Prognozowane zużycie gazu ogółem [GJ]</c:v>
                </c:pt>
              </c:strCache>
            </c:strRef>
          </c:tx>
          <c:spPr>
            <a:ln w="31750">
              <a:solidFill>
                <a:srgbClr val="FF7E00"/>
              </a:solidFill>
              <a:prstDash val="sysDash"/>
            </a:ln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Gaz!$B$34:$B$40</c15:sqref>
                  </c15:fullRef>
                </c:ext>
              </c:extLst>
              <c:f>Gaz!$B$35:$B$40</c:f>
              <c:numCache>
                <c:formatCode>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(Gaz!$C$34,Gaz!$D$35:$D$40)</c15:sqref>
                  </c15:fullRef>
                </c:ext>
              </c:extLst>
              <c:f>Gaz!$D$35:$D$40</c:f>
              <c:numCache>
                <c:formatCode>0.00</c:formatCode>
                <c:ptCount val="6"/>
                <c:pt idx="0">
                  <c:v>969568.53111999994</c:v>
                </c:pt>
                <c:pt idx="1">
                  <c:v>984790.7570585839</c:v>
                </c:pt>
                <c:pt idx="2">
                  <c:v>1000251.9719444037</c:v>
                </c:pt>
                <c:pt idx="3">
                  <c:v>1015955.9279039309</c:v>
                </c:pt>
                <c:pt idx="4">
                  <c:v>1031906.4359720226</c:v>
                </c:pt>
                <c:pt idx="5">
                  <c:v>1048107.3670167833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D-4ACD-A41F-686A1DAE5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843936"/>
        <c:axId val="3628443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Gaz!$C$33</c15:sqref>
                        </c15:formulaRef>
                      </c:ext>
                    </c:extLst>
                    <c:strCache>
                      <c:ptCount val="1"/>
                      <c:pt idx="0">
                        <c:v>Faktyczne zużycie gazu [GJ]</c:v>
                      </c:pt>
                    </c:strCache>
                  </c:strRef>
                </c:tx>
                <c:spPr>
                  <a:ln w="31750">
                    <a:solidFill>
                      <a:schemeClr val="accent5"/>
                    </a:solidFill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Gaz!$B$34:$B$40</c15:sqref>
                        </c15:fullRef>
                        <c15:formulaRef>
                          <c15:sqref>Gaz!$B$35:$B$40</c15:sqref>
                        </c15:formulaRef>
                      </c:ext>
                    </c:extLst>
                    <c:numCache>
                      <c:formatCode>0</c:formatCode>
                      <c:ptCount val="6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Gaz!$C$34:$C$34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0.00</c:formatCode>
                      <c:ptCount val="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FC0D-4ACD-A41F-686A1DAE50D1}"/>
                  </c:ext>
                </c:extLst>
              </c15:ser>
            </c15:filteredLineSeries>
          </c:ext>
        </c:extLst>
      </c:lineChart>
      <c:catAx>
        <c:axId val="362843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2844328"/>
        <c:crosses val="autoZero"/>
        <c:auto val="1"/>
        <c:lblAlgn val="ctr"/>
        <c:lblOffset val="100"/>
        <c:tickLblSkip val="1"/>
        <c:noMultiLvlLbl val="0"/>
      </c:catAx>
      <c:valAx>
        <c:axId val="362844328"/>
        <c:scaling>
          <c:orientation val="minMax"/>
          <c:min val="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362843936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Zużycie gazu [Nm3]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Gaz!$B$6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(Gaz!$B$11,Gaz!$B$25)</c:f>
              <c:strCache>
                <c:ptCount val="2"/>
                <c:pt idx="0">
                  <c:v>rok 2014</c:v>
                </c:pt>
                <c:pt idx="1">
                  <c:v>rok 2020 - prognoza</c:v>
                </c:pt>
              </c:strCache>
              <c:extLst/>
            </c:strRef>
          </c:cat>
          <c:val>
            <c:numRef>
              <c:f>(Gaz!$E$13,Gaz!$D$27)</c:f>
              <c:numCache>
                <c:formatCode>" "#\ ##0.00"    ";"-"#\ ##0.00"    ";" -"00"    ";" "@" "</c:formatCode>
                <c:ptCount val="2"/>
                <c:pt idx="0">
                  <c:v>6600700</c:v>
                </c:pt>
                <c:pt idx="1">
                  <c:v>7247407.9716890436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1450-4EA2-A219-77BBF3D65563}"/>
            </c:ext>
          </c:extLst>
        </c:ser>
        <c:ser>
          <c:idx val="1"/>
          <c:order val="1"/>
          <c:tx>
            <c:strRef>
              <c:f>Gaz!$B$7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(Gaz!$B$11,Gaz!$B$25)</c:f>
              <c:strCache>
                <c:ptCount val="2"/>
                <c:pt idx="0">
                  <c:v>rok 2014</c:v>
                </c:pt>
                <c:pt idx="1">
                  <c:v>rok 2020 - prognoza</c:v>
                </c:pt>
              </c:strCache>
              <c:extLst/>
            </c:strRef>
          </c:cat>
          <c:val>
            <c:numRef>
              <c:f>(Gaz!$E$14,Gaz!$D$28)</c:f>
              <c:numCache>
                <c:formatCode>" "#\ ##0.00"    ";"-"#\ ##0.00"    ";" -"00"    ";" "@" "</c:formatCode>
                <c:ptCount val="2"/>
                <c:pt idx="0">
                  <c:v>16722300</c:v>
                </c:pt>
                <c:pt idx="1">
                  <c:v>18360678.462129124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1-1450-4EA2-A219-77BBF3D65563}"/>
            </c:ext>
          </c:extLst>
        </c:ser>
        <c:ser>
          <c:idx val="2"/>
          <c:order val="2"/>
          <c:tx>
            <c:strRef>
              <c:f>Gaz!$B$8</c:f>
              <c:strCache>
                <c:ptCount val="1"/>
                <c:pt idx="0">
                  <c:v>Handel i Usługi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(Gaz!$B$11,Gaz!$B$25)</c:f>
              <c:strCache>
                <c:ptCount val="2"/>
                <c:pt idx="0">
                  <c:v>rok 2014</c:v>
                </c:pt>
                <c:pt idx="1">
                  <c:v>rok 2020 - prognoza</c:v>
                </c:pt>
              </c:strCache>
              <c:extLst/>
            </c:strRef>
          </c:cat>
          <c:val>
            <c:numRef>
              <c:f>(Gaz!$E$15,Gaz!$D$29)</c:f>
              <c:numCache>
                <c:formatCode>" "#\ ##0.00"    ";"-"#\ ##0.00"    ";" -"00"    ";" "@" "</c:formatCode>
                <c:ptCount val="2"/>
                <c:pt idx="0">
                  <c:v>2269000</c:v>
                </c:pt>
                <c:pt idx="1">
                  <c:v>2491306.7837899677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2-1450-4EA2-A219-77BBF3D65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2844720"/>
        <c:axId val="362845112"/>
        <c:extLst>
          <c:ext xmlns:c15="http://schemas.microsoft.com/office/drawing/2012/chart" uri="{02D57815-91ED-43cb-92C2-25804820EDAC}">
            <c15:filteredBarSeries>
              <c15:ser>
                <c:idx val="4"/>
                <c:order val="3"/>
                <c:tx>
                  <c:strRef>
                    <c:extLst>
                      <c:ext uri="{02D57815-91ED-43cb-92C2-25804820EDAC}">
                        <c15:formulaRef>
                          <c15:sqref>Gaz!#REF!</c15:sqref>
                        </c15:formulaRef>
                      </c:ext>
                    </c:extLst>
                    <c:strCache>
                      <c:ptCount val="1"/>
                      <c:pt idx="0">
                        <c:v>Pozostali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(Gaz!$B$11,Gaz!$B$25)</c15:sqref>
                        </c15:formulaRef>
                      </c:ext>
                    </c:extLst>
                    <c:strCache>
                      <c:ptCount val="2"/>
                      <c:pt idx="0">
                        <c:v>rok 2014</c:v>
                      </c:pt>
                      <c:pt idx="1">
                        <c:v>rok 2020 - prognoza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(Gaz!#REF!,Gaz!#REF!,Gaz!#REF!)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3-1450-4EA2-A219-77BBF3D65563}"/>
                  </c:ext>
                </c:extLst>
              </c15:ser>
            </c15:filteredBarSeries>
          </c:ext>
        </c:extLst>
      </c:barChart>
      <c:catAx>
        <c:axId val="362844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2845112"/>
        <c:crosses val="autoZero"/>
        <c:auto val="1"/>
        <c:lblAlgn val="ctr"/>
        <c:lblOffset val="100"/>
        <c:noMultiLvlLbl val="0"/>
      </c:catAx>
      <c:valAx>
        <c:axId val="362845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28447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Emisja w transporcie [Mg CO</a:t>
            </a:r>
            <a:r>
              <a:rPr lang="pl-PL" baseline="-25000"/>
              <a:t>2</a:t>
            </a:r>
            <a:r>
              <a:rPr lang="pl-PL"/>
              <a:t>]</a:t>
            </a:r>
            <a:endParaRPr lang="pl-PL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Tranzyt!$B$63</c:f>
              <c:strCache>
                <c:ptCount val="1"/>
                <c:pt idx="0">
                  <c:v>Tranzyt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Tranzyt!$C$62:$E$62</c15:sqref>
                  </c15:fullRef>
                </c:ext>
              </c:extLst>
              <c:f>Tranzyt!$D$62:$E$62</c:f>
              <c:strCache>
                <c:ptCount val="2"/>
                <c:pt idx="0">
                  <c:v>Emisja CO2 [Mg CO2] w 2014 roku</c:v>
                </c:pt>
                <c:pt idx="1">
                  <c:v>Emisja CO2 [Mg CO2] w 2020 roku - prognoza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Tranzyt!$C$63:$E$63</c15:sqref>
                  </c15:fullRef>
                </c:ext>
              </c:extLst>
              <c:f>Tranzyt!$D$63:$E$63</c:f>
              <c:numCache>
                <c:formatCode>0.00</c:formatCode>
                <c:ptCount val="2"/>
                <c:pt idx="0">
                  <c:v>9910.0990312500016</c:v>
                </c:pt>
                <c:pt idx="1">
                  <c:v>11765.682691499998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9-44B1-AA38-CD6686F3785E}"/>
            </c:ext>
          </c:extLst>
        </c:ser>
        <c:ser>
          <c:idx val="1"/>
          <c:order val="1"/>
          <c:tx>
            <c:strRef>
              <c:f>Tranzyt!$B$64</c:f>
              <c:strCache>
                <c:ptCount val="1"/>
                <c:pt idx="0">
                  <c:v>Transport lokalny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Tranzyt!$C$62:$E$62</c15:sqref>
                  </c15:fullRef>
                </c:ext>
              </c:extLst>
              <c:f>Tranzyt!$D$62:$E$62</c:f>
              <c:strCache>
                <c:ptCount val="2"/>
                <c:pt idx="0">
                  <c:v>Emisja CO2 [Mg CO2] w 2014 roku</c:v>
                </c:pt>
                <c:pt idx="1">
                  <c:v>Emisja CO2 [Mg CO2] w 2020 roku - prognoza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Tranzyt!$C$64:$E$64</c15:sqref>
                  </c15:fullRef>
                </c:ext>
              </c:extLst>
              <c:f>Tranzyt!$D$64:$E$64</c:f>
              <c:numCache>
                <c:formatCode>0.00</c:formatCode>
                <c:ptCount val="2"/>
                <c:pt idx="0">
                  <c:v>130478.31214791429</c:v>
                </c:pt>
                <c:pt idx="1">
                  <c:v>123390.50034015953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F9-44B1-AA38-CD6686F37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5195744"/>
        <c:axId val="365199664"/>
      </c:barChart>
      <c:catAx>
        <c:axId val="365195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5199664"/>
        <c:crosses val="autoZero"/>
        <c:auto val="1"/>
        <c:lblAlgn val="ctr"/>
        <c:lblOffset val="100"/>
        <c:noMultiLvlLbl val="0"/>
      </c:catAx>
      <c:valAx>
        <c:axId val="36519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51957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Emisja</a:t>
            </a:r>
            <a:r>
              <a:rPr lang="pl-PL" baseline="0"/>
              <a:t> CO</a:t>
            </a:r>
            <a:r>
              <a:rPr lang="pl-PL" baseline="-25000"/>
              <a:t>2</a:t>
            </a:r>
            <a:r>
              <a:rPr lang="pl-PL" baseline="0"/>
              <a:t> na drogach tranzytowych</a:t>
            </a:r>
            <a:br>
              <a:rPr lang="pl-PL" baseline="0"/>
            </a:br>
            <a:r>
              <a:rPr lang="pl-PL" baseline="0"/>
              <a:t> [Mg CO</a:t>
            </a:r>
            <a:r>
              <a:rPr lang="pl-PL" baseline="-25000"/>
              <a:t>2</a:t>
            </a:r>
            <a:r>
              <a:rPr lang="pl-PL" baseline="0"/>
              <a:t>]</a:t>
            </a:r>
          </a:p>
        </c:rich>
      </c:tx>
      <c:layout>
        <c:manualLayout>
          <c:xMode val="edge"/>
          <c:yMode val="edge"/>
          <c:x val="0.11395144356955382"/>
          <c:y val="2.7722770836372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Tranzyt!$C$4</c:f>
              <c:strCache>
                <c:ptCount val="1"/>
                <c:pt idx="0">
                  <c:v> DK 60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Tranzyt!$J$4:$L$4</c15:sqref>
                  </c15:fullRef>
                </c:ext>
              </c:extLst>
              <c:f>Tranzyt!$K$4:$L$4</c:f>
              <c:strCache>
                <c:ptCount val="2"/>
                <c:pt idx="0">
                  <c:v>Emisja CO2 [Mg CO2] w 2014 roku</c:v>
                </c:pt>
                <c:pt idx="1">
                  <c:v>Emisja CO2 [Mg CO2] w 2020 roku - prognoza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Tranzyt!$J$12:$L$12</c15:sqref>
                  </c15:fullRef>
                </c:ext>
              </c:extLst>
              <c:f>Tranzyt!$K$12:$L$12</c:f>
              <c:numCache>
                <c:formatCode>" "#\ ##0.00"    ";"-"#\ ##0.00"    ";" -"00"    ";" "@" "</c:formatCode>
                <c:ptCount val="2"/>
                <c:pt idx="0">
                  <c:v>4088.0291999999995</c:v>
                </c:pt>
                <c:pt idx="1">
                  <c:v>4911.6391439999989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5-4B3E-A825-68533218EBCC}"/>
            </c:ext>
          </c:extLst>
        </c:ser>
        <c:ser>
          <c:idx val="2"/>
          <c:order val="1"/>
          <c:tx>
            <c:strRef>
              <c:f>Tranzyt!$C$14</c:f>
              <c:strCache>
                <c:ptCount val="1"/>
                <c:pt idx="0">
                  <c:v> DK 50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Tranzyt!$J$4:$L$4</c15:sqref>
                  </c15:fullRef>
                </c:ext>
              </c:extLst>
              <c:f>Tranzyt!$K$4:$L$4</c:f>
              <c:strCache>
                <c:ptCount val="2"/>
                <c:pt idx="0">
                  <c:v>Emisja CO2 [Mg CO2] w 2014 roku</c:v>
                </c:pt>
                <c:pt idx="1">
                  <c:v>Emisja CO2 [Mg CO2] w 2020 roku - prognoza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Tranzyt!$J$22:$L$22</c15:sqref>
                  </c15:fullRef>
                </c:ext>
              </c:extLst>
              <c:f>Tranzyt!$K$22:$L$22</c:f>
              <c:numCache>
                <c:formatCode>" "#\ ##0.00"    ";"-"#\ ##0.00"    ";" -"00"    ";" "@" "</c:formatCode>
                <c:ptCount val="2"/>
                <c:pt idx="0">
                  <c:v>3165.8708437499999</c:v>
                </c:pt>
                <c:pt idx="1">
                  <c:v>3729.3502699999995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75-4B3E-A825-68533218EBCC}"/>
            </c:ext>
          </c:extLst>
        </c:ser>
        <c:ser>
          <c:idx val="3"/>
          <c:order val="2"/>
          <c:tx>
            <c:strRef>
              <c:f>Tranzyt!$C$24</c:f>
              <c:strCache>
                <c:ptCount val="1"/>
                <c:pt idx="0">
                  <c:v> DW 615 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Tranzyt!$J$4:$L$4</c15:sqref>
                  </c15:fullRef>
                </c:ext>
              </c:extLst>
              <c:f>Tranzyt!$K$4:$L$4</c:f>
              <c:strCache>
                <c:ptCount val="2"/>
                <c:pt idx="0">
                  <c:v>Emisja CO2 [Mg CO2] w 2014 roku</c:v>
                </c:pt>
                <c:pt idx="1">
                  <c:v>Emisja CO2 [Mg CO2] w 2020 roku - prognoza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Tranzyt!$J$32:$L$32</c15:sqref>
                  </c15:fullRef>
                </c:ext>
              </c:extLst>
              <c:f>Tranzyt!$K$32:$L$32</c:f>
              <c:numCache>
                <c:formatCode>" "#\ ##0.00"    ";"-"#\ ##0.00"    ";" -"00"    ";" "@" "</c:formatCode>
                <c:ptCount val="2"/>
                <c:pt idx="0">
                  <c:v>1464.58221</c:v>
                </c:pt>
                <c:pt idx="1">
                  <c:v>1729.4743900000001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75-4B3E-A825-68533218EBCC}"/>
            </c:ext>
          </c:extLst>
        </c:ser>
        <c:ser>
          <c:idx val="0"/>
          <c:order val="3"/>
          <c:tx>
            <c:strRef>
              <c:f>Tranzyt!$C$34</c:f>
              <c:strCache>
                <c:ptCount val="1"/>
                <c:pt idx="0">
                  <c:v> DW 616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Lit>
              <c:ptCount val="2"/>
              <c:pt idx="0">
                <c:v>Emisja CO2 [Mg CO2] w 2014 roku</c:v>
              </c:pt>
              <c:pt idx="1">
                <c:v>Emisja CO2 [Mg CO2] w 2020 roku - prognoza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Tranzyt!$J$42:$L$42</c15:sqref>
                  </c15:fullRef>
                </c:ext>
              </c:extLst>
              <c:f>Tranzyt!$K$42:$L$42</c:f>
              <c:numCache>
                <c:formatCode>" "#\ ##0.00"    ";"-"#\ ##0.00"    ";" -"00"    ";" "@" "</c:formatCode>
                <c:ptCount val="2"/>
                <c:pt idx="0">
                  <c:v>176.66894250000001</c:v>
                </c:pt>
                <c:pt idx="1">
                  <c:v>206.85316499999999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75-4B3E-A825-68533218EBCC}"/>
            </c:ext>
          </c:extLst>
        </c:ser>
        <c:ser>
          <c:idx val="4"/>
          <c:order val="4"/>
          <c:tx>
            <c:strRef>
              <c:f>Tranzyt!$C$44</c:f>
              <c:strCache>
                <c:ptCount val="1"/>
                <c:pt idx="0">
                  <c:v> DW 617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Lit>
              <c:ptCount val="2"/>
              <c:pt idx="0">
                <c:v>Emisja CO2 [Mg CO2] w 2014 roku</c:v>
              </c:pt>
              <c:pt idx="1">
                <c:v>Emisja CO2 [Mg CO2] w 2020 roku - prognoza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Tranzyt!$J$52:$L$52</c15:sqref>
                  </c15:fullRef>
                </c:ext>
              </c:extLst>
              <c:f>Tranzyt!$K$52:$L$52</c:f>
              <c:numCache>
                <c:formatCode>" "#\ ##0.00"    ";"-"#\ ##0.00"    ";" -"00"    ";" "@" "</c:formatCode>
                <c:ptCount val="2"/>
                <c:pt idx="0">
                  <c:v>1014.9478350000001</c:v>
                </c:pt>
                <c:pt idx="1">
                  <c:v>1188.3657224999997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75-4B3E-A825-68533218E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5193784"/>
        <c:axId val="365195352"/>
        <c:axId val="0"/>
        <c:extLst/>
      </c:bar3DChart>
      <c:catAx>
        <c:axId val="365193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5195352"/>
        <c:crosses val="autoZero"/>
        <c:auto val="1"/>
        <c:lblAlgn val="ctr"/>
        <c:lblOffset val="100"/>
        <c:noMultiLvlLbl val="0"/>
      </c:catAx>
      <c:valAx>
        <c:axId val="365195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&quot; &quot;#\ ##0.00&quot;    &quot;;&quot;-&quot;#\ ##0.00&quot;    &quot;;&quot; -&quot;00&quot;    &quot;;&quot; &quot;@&quot; 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5193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Struktura paliw wykorzystywanych </a:t>
            </a:r>
            <a:br>
              <a:rPr lang="pl-PL"/>
            </a:br>
            <a:r>
              <a:rPr lang="pl-PL"/>
              <a:t>w transporcie w roku 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F0-4AFF-8CCD-49B602841A4E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F0-4AFF-8CCD-49B602841A4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1F0-4AFF-8CCD-49B602841A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'[2]Ruch lokalny'!$E$62:$E$64</c:f>
              <c:strCache>
                <c:ptCount val="3"/>
                <c:pt idx="0">
                  <c:v>Benzyna</c:v>
                </c:pt>
                <c:pt idx="1">
                  <c:v>Diesel</c:v>
                </c:pt>
                <c:pt idx="2">
                  <c:v>LPG</c:v>
                </c:pt>
              </c:strCache>
            </c:strRef>
          </c:cat>
          <c:val>
            <c:numRef>
              <c:f>'Ruch lokalny'!$D$59:$D$61</c:f>
              <c:numCache>
                <c:formatCode>#,##0</c:formatCode>
                <c:ptCount val="3"/>
                <c:pt idx="0">
                  <c:v>11932</c:v>
                </c:pt>
                <c:pt idx="1">
                  <c:v>11182</c:v>
                </c:pt>
                <c:pt idx="2">
                  <c:v>13105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F0-4AFF-8CCD-49B602841A4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Proporcje</a:t>
            </a:r>
            <a:r>
              <a:rPr lang="pl-PL" baseline="0"/>
              <a:t> wielkości emisji CO</a:t>
            </a:r>
            <a:r>
              <a:rPr lang="pl-PL" baseline="-25000"/>
              <a:t>2</a:t>
            </a:r>
            <a:r>
              <a:rPr lang="pl-PL" baseline="0"/>
              <a:t> na drogach tranzytowych w roku 2014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6C-4850-914F-A5D2E519E79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6C-4850-914F-A5D2E519E79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6C-4850-914F-A5D2E519E79E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46C-4850-914F-A5D2E519E79E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46C-4850-914F-A5D2E519E7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Tranzyt!$I$56:$I$60</c:f>
              <c:strCache>
                <c:ptCount val="5"/>
                <c:pt idx="0">
                  <c:v>DK 60</c:v>
                </c:pt>
                <c:pt idx="1">
                  <c:v>DK 50</c:v>
                </c:pt>
                <c:pt idx="2">
                  <c:v>DW 615</c:v>
                </c:pt>
                <c:pt idx="3">
                  <c:v>DW 616</c:v>
                </c:pt>
                <c:pt idx="4">
                  <c:v>DW 617</c:v>
                </c:pt>
              </c:strCache>
            </c:strRef>
          </c:cat>
          <c:val>
            <c:numRef>
              <c:f>Tranzyt!$K$56:$K$60</c:f>
              <c:numCache>
                <c:formatCode>0.00</c:formatCode>
                <c:ptCount val="5"/>
                <c:pt idx="0">
                  <c:v>4088.0291999999995</c:v>
                </c:pt>
                <c:pt idx="1">
                  <c:v>3165.8708437499999</c:v>
                </c:pt>
                <c:pt idx="2">
                  <c:v>1464.58221</c:v>
                </c:pt>
                <c:pt idx="3">
                  <c:v>176.66894250000001</c:v>
                </c:pt>
                <c:pt idx="4">
                  <c:v>1014.9478350000001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46C-4850-914F-A5D2E519E79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l-PL" sz="1800" b="1" i="0" baseline="0">
                <a:effectLst/>
              </a:rPr>
              <a:t>Ruch lokalny - emisja CO</a:t>
            </a:r>
            <a:r>
              <a:rPr lang="pl-PL" sz="1800" b="1" i="0" baseline="-25000">
                <a:effectLst/>
              </a:rPr>
              <a:t>2</a:t>
            </a:r>
            <a:r>
              <a:rPr lang="pl-PL" sz="1800" b="1" i="0" baseline="0">
                <a:effectLst/>
              </a:rPr>
              <a:t> [Mg CO</a:t>
            </a:r>
            <a:r>
              <a:rPr lang="pl-PL" sz="1800" b="1" i="0" baseline="-25000">
                <a:effectLst/>
              </a:rPr>
              <a:t>2</a:t>
            </a:r>
            <a:r>
              <a:rPr lang="pl-PL" sz="1800" b="1" i="0" baseline="0">
                <a:effectLst/>
              </a:rPr>
              <a:t>] </a:t>
            </a:r>
            <a:endParaRPr lang="pl-PL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'Ruch lokalny'!$B$66:$B$68</c:f>
              <c:strCache>
                <c:ptCount val="3"/>
                <c:pt idx="0">
                  <c:v>Motocykle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('Ruch lokalny'!$B$32:$F$32,'Ruch lokalny'!$B$63:$F$63,'Ruch lokalny'!$B$91:$F$91)</c:f>
              <c:strCache>
                <c:ptCount val="3"/>
                <c:pt idx="0">
                  <c:v>Emisja z ruchu lokalnego rok 2014</c:v>
                </c:pt>
                <c:pt idx="1">
                  <c:v>Emisja z ruchu lokalnego rok kontrolny - 2017 </c:v>
                </c:pt>
                <c:pt idx="2">
                  <c:v>Emisja z ruchu lokalnego - prognoza na rok 2020</c:v>
                </c:pt>
              </c:strCache>
            </c:strRef>
          </c:cat>
          <c:val>
            <c:numRef>
              <c:f>('Ruch lokalny'!$L$36,'Ruch lokalny'!$L$67,'Ruch lokalny'!$L$95)</c:f>
              <c:numCache>
                <c:formatCode>#,##0.00</c:formatCode>
                <c:ptCount val="3"/>
                <c:pt idx="0">
                  <c:v>1413.3549223528983</c:v>
                </c:pt>
                <c:pt idx="1">
                  <c:v>1404.3160245936642</c:v>
                </c:pt>
                <c:pt idx="2">
                  <c:v>1336.9351503884684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1-4255-9D85-EAE4CB799DD0}"/>
            </c:ext>
          </c:extLst>
        </c:ser>
        <c:ser>
          <c:idx val="1"/>
          <c:order val="1"/>
          <c:tx>
            <c:strRef>
              <c:f>'Ruch lokalny'!$B$38:$B$40</c:f>
              <c:strCache>
                <c:ptCount val="3"/>
                <c:pt idx="0">
                  <c:v>Sam. Osobowe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('Ruch lokalny'!$L$39,'Ruch lokalny'!$L$70,'Ruch lokalny'!$L$98)</c:f>
              <c:numCache>
                <c:formatCode>#,##0.00</c:formatCode>
                <c:ptCount val="3"/>
                <c:pt idx="0">
                  <c:v>55883.109714094542</c:v>
                </c:pt>
                <c:pt idx="1">
                  <c:v>55526.294312046957</c:v>
                </c:pt>
                <c:pt idx="2">
                  <c:v>52866.80454291623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61-4255-9D85-EAE4CB799DD0}"/>
            </c:ext>
          </c:extLst>
        </c:ser>
        <c:ser>
          <c:idx val="2"/>
          <c:order val="2"/>
          <c:tx>
            <c:strRef>
              <c:f>'Ruch lokalny'!$B$72:$B$74</c:f>
              <c:strCache>
                <c:ptCount val="3"/>
                <c:pt idx="0">
                  <c:v>Sam. Ciężarowe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('Ruch lokalny'!$L$42,'Ruch lokalny'!$L$73,'Ruch lokalny'!$L$101)</c:f>
              <c:numCache>
                <c:formatCode>#,##0.00</c:formatCode>
                <c:ptCount val="3"/>
                <c:pt idx="0">
                  <c:v>54299.705007833676</c:v>
                </c:pt>
                <c:pt idx="1">
                  <c:v>53946.928306338261</c:v>
                </c:pt>
                <c:pt idx="2">
                  <c:v>51362.017387858781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61-4255-9D85-EAE4CB799DD0}"/>
            </c:ext>
          </c:extLst>
        </c:ser>
        <c:ser>
          <c:idx val="3"/>
          <c:order val="3"/>
          <c:tx>
            <c:strRef>
              <c:f>'Ruch lokalny'!$B$103:$B$105</c:f>
              <c:strCache>
                <c:ptCount val="3"/>
                <c:pt idx="0">
                  <c:v>Autobusy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('Ruch lokalny'!$L$45,'Ruch lokalny'!$L$76,'Ruch lokalny'!$L$104)</c:f>
              <c:numCache>
                <c:formatCode>#,##0.00</c:formatCode>
                <c:ptCount val="3"/>
                <c:pt idx="0">
                  <c:v>3188.651181534291</c:v>
                </c:pt>
                <c:pt idx="1">
                  <c:v>3148.8773981929317</c:v>
                </c:pt>
                <c:pt idx="2">
                  <c:v>3005.1422997880754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61-4255-9D85-EAE4CB799DD0}"/>
            </c:ext>
          </c:extLst>
        </c:ser>
        <c:ser>
          <c:idx val="4"/>
          <c:order val="4"/>
          <c:tx>
            <c:strRef>
              <c:f>'Ruch lokalny'!$B$47:$B$49</c:f>
              <c:strCache>
                <c:ptCount val="3"/>
                <c:pt idx="0">
                  <c:v>Samochody specjalne do 3,5 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('Ruch lokalny'!$L$48,'Ruch lokalny'!$L$79,'Ruch lokalny'!$L$107)</c:f>
              <c:numCache>
                <c:formatCode>#,##0.00</c:formatCode>
                <c:ptCount val="3"/>
                <c:pt idx="0">
                  <c:v>731.29364124295068</c:v>
                </c:pt>
                <c:pt idx="1">
                  <c:v>720.87264900176399</c:v>
                </c:pt>
                <c:pt idx="2">
                  <c:v>685.36232557768085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61-4255-9D85-EAE4CB799DD0}"/>
            </c:ext>
          </c:extLst>
        </c:ser>
        <c:ser>
          <c:idx val="5"/>
          <c:order val="5"/>
          <c:tx>
            <c:strRef>
              <c:f>'Ruch lokalny'!$B$81:$B$83</c:f>
              <c:strCache>
                <c:ptCount val="3"/>
                <c:pt idx="0">
                  <c:v>Ciągniki samochodowe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('Ruch lokalny'!$L$54,'Ruch lokalny'!$L$82,'Ruch lokalny'!$L$113)</c:f>
              <c:numCache>
                <c:formatCode>#,##0.00</c:formatCode>
                <c:ptCount val="3"/>
                <c:pt idx="0">
                  <c:v>7162.7432480251027</c:v>
                </c:pt>
                <c:pt idx="1">
                  <c:v>644.6328905980082</c:v>
                </c:pt>
                <c:pt idx="2">
                  <c:v>6774.293966592254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61-4255-9D85-EAE4CB799DD0}"/>
            </c:ext>
          </c:extLst>
        </c:ser>
        <c:ser>
          <c:idx val="6"/>
          <c:order val="6"/>
          <c:tx>
            <c:strRef>
              <c:f>'Ruch lokalny'!$B$56:$B$58</c:f>
              <c:strCache>
                <c:ptCount val="3"/>
                <c:pt idx="0">
                  <c:v>Ciągniki rolnicze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('Ruch lokalny'!$L$57,'Ruch lokalny'!$L$85,'Ruch lokalny'!$L$116)</c:f>
              <c:numCache>
                <c:formatCode>#,##0.00</c:formatCode>
                <c:ptCount val="3"/>
                <c:pt idx="0">
                  <c:v>7786.9954445996391</c:v>
                </c:pt>
                <c:pt idx="1">
                  <c:v>5567.0163657936737</c:v>
                </c:pt>
                <c:pt idx="2">
                  <c:v>7359.9446670380248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61-4255-9D85-EAE4CB799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512227488"/>
        <c:axId val="512226832"/>
      </c:barChart>
      <c:catAx>
        <c:axId val="51222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226832"/>
        <c:crosses val="autoZero"/>
        <c:auto val="1"/>
        <c:lblAlgn val="ctr"/>
        <c:lblOffset val="100"/>
        <c:noMultiLvlLbl val="0"/>
      </c:catAx>
      <c:valAx>
        <c:axId val="51222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22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Struktura paliw w</a:t>
            </a:r>
            <a:r>
              <a:rPr lang="pl-PL" baseline="0"/>
              <a:t>ykorzystywanych na potrzeby cieplne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pieChart>
        <c:varyColors val="1"/>
        <c:ser>
          <c:idx val="0"/>
          <c:order val="0"/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D3D-4529-9967-786A974F1830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D3D-4529-9967-786A974F1830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D3D-4529-9967-786A974F1830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D3D-4529-9967-786A974F1830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D3D-4529-9967-786A974F1830}"/>
              </c:ext>
            </c:extLst>
          </c:dPt>
          <c:dLbls>
            <c:dLbl>
              <c:idx val="3"/>
              <c:layout>
                <c:manualLayout>
                  <c:x val="5.8883630952380951E-2"/>
                  <c:y val="9.09428838951310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3D-4529-9967-786A974F183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Ciepło!$B$5:$B$9</c:f>
              <c:strCache>
                <c:ptCount val="5"/>
                <c:pt idx="0">
                  <c:v>ciepło systemowe</c:v>
                </c:pt>
                <c:pt idx="1">
                  <c:v>gaz</c:v>
                </c:pt>
                <c:pt idx="2">
                  <c:v>węgiel i ekogroszek</c:v>
                </c:pt>
                <c:pt idx="3">
                  <c:v>en. elektryczna</c:v>
                </c:pt>
                <c:pt idx="4">
                  <c:v>olej opałowy</c:v>
                </c:pt>
              </c:strCache>
            </c:strRef>
          </c:cat>
          <c:val>
            <c:numRef>
              <c:f>Ciepło!$C$5:$C$9</c:f>
              <c:numCache>
                <c:formatCode>0.00%</c:formatCode>
                <c:ptCount val="5"/>
                <c:pt idx="0">
                  <c:v>0.22717414899999999</c:v>
                </c:pt>
                <c:pt idx="1">
                  <c:v>0.19240696639999999</c:v>
                </c:pt>
                <c:pt idx="2">
                  <c:v>0.499118846</c:v>
                </c:pt>
                <c:pt idx="3">
                  <c:v>4.9299999999999997E-2</c:v>
                </c:pt>
                <c:pt idx="4">
                  <c:v>3.2000000000000001E-2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D3D-4529-9967-786A974F183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Zapotrzebowanie na energię cieplną</a:t>
            </a:r>
            <a:r>
              <a:rPr lang="pl-PL">
                <a:solidFill>
                  <a:sysClr val="windowText" lastClr="000000"/>
                </a:solidFill>
              </a:rPr>
              <a:t> [GJ]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Ciepło!$B$12</c:f>
              <c:strCache>
                <c:ptCount val="1"/>
                <c:pt idx="0">
                  <c:v>Zapotrzebowanie na energię cieplną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15000"/>
                    <a:satMod val="180000"/>
                  </a:schemeClr>
                </a:gs>
                <a:gs pos="50000">
                  <a:schemeClr val="accent1">
                    <a:shade val="45000"/>
                    <a:satMod val="170000"/>
                  </a:schemeClr>
                </a:gs>
                <a:gs pos="70000">
                  <a:schemeClr val="accent1">
                    <a:tint val="99000"/>
                    <a:shade val="65000"/>
                    <a:satMod val="155000"/>
                  </a:schemeClr>
                </a:gs>
                <a:gs pos="100000">
                  <a:schemeClr val="accent1">
                    <a:tint val="95500"/>
                    <a:shade val="100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Ciepło!$B$14:$B$17</c15:sqref>
                  </c15:fullRef>
                </c:ext>
              </c:extLst>
              <c:f>Ciepło!$B$15:$B$17</c:f>
              <c:strCache>
                <c:ptCount val="3"/>
                <c:pt idx="0">
                  <c:v>Ogólne zapotrzebowanie na energię w roku bazowym 2014 r. [GJ]</c:v>
                </c:pt>
                <c:pt idx="1">
                  <c:v>Ogólne zapotrzebowanie na energię w roku kontrolnym 2017 r. [GJ]</c:v>
                </c:pt>
                <c:pt idx="2">
                  <c:v>Ogólne zapotrzebowanie na energię w roku 2020 r. [GJ]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Ciepło!$C$14:$C$17</c15:sqref>
                  </c15:fullRef>
                </c:ext>
              </c:extLst>
              <c:f>Ciepło!$C$15:$C$17</c:f>
              <c:numCache>
                <c:formatCode>" "#\ ##0.00"    ";"-"#\ ##0.00"    ";" -"00"    ";" "@" "</c:formatCode>
                <c:ptCount val="3"/>
                <c:pt idx="0">
                  <c:v>1279611.22</c:v>
                </c:pt>
                <c:pt idx="1">
                  <c:v>1313958.3487608063</c:v>
                </c:pt>
                <c:pt idx="2">
                  <c:v>1384575.79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F6-4D9E-A069-50B3A781A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65200448"/>
        <c:axId val="365196136"/>
      </c:barChart>
      <c:catAx>
        <c:axId val="365200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5196136"/>
        <c:crosses val="autoZero"/>
        <c:auto val="1"/>
        <c:lblAlgn val="ctr"/>
        <c:lblOffset val="100"/>
        <c:noMultiLvlLbl val="0"/>
      </c:catAx>
      <c:valAx>
        <c:axId val="3651961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520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Struktura pokrycia zapotrzebowania na energię</a:t>
            </a:r>
            <a:r>
              <a:rPr lang="pl-PL" baseline="0"/>
              <a:t> cieplną [GJ]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Ciepło!$E$5</c:f>
              <c:strCache>
                <c:ptCount val="1"/>
                <c:pt idx="0">
                  <c:v>ciepło systemowe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(Ciepło!$E$12,Ciepło!$E$20,Ciepło!$E$28)</c15:sqref>
                  </c15:fullRef>
                </c:ext>
              </c:extLst>
              <c:f>(Ciepło!$E$12,Ciepło!$E$20,Ciepło!$E$28)</c:f>
              <c:strCache>
                <c:ptCount val="3"/>
                <c:pt idx="0">
                  <c:v>2014</c:v>
                </c:pt>
                <c:pt idx="1">
                  <c:v>Rok kontrolny 2017</c:v>
                </c:pt>
                <c:pt idx="2">
                  <c:v>2020 - Prognoza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(Ciepło!$G$5,Ciepło!$G$13,Ciepło!$G$21,Ciepło!$G$21,Ciepło!$G$29)</c15:sqref>
                  </c15:fullRef>
                </c:ext>
              </c:extLst>
              <c:f>(Ciepło!$G$5,Ciepło!$G$13,Ciepło!$G$21)</c:f>
              <c:numCache>
                <c:formatCode>_(* #,##0.00_);_(* \(#,##0.00\);_(* "-"??_);_(@_)</c:formatCode>
                <c:ptCount val="3"/>
                <c:pt idx="0">
                  <c:v>512025.22</c:v>
                </c:pt>
                <c:pt idx="1">
                  <c:v>290694.59000000003</c:v>
                </c:pt>
                <c:pt idx="2">
                  <c:v>290694.59000000003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C5-4C12-BC0B-6A23BC2E7149}"/>
            </c:ext>
          </c:extLst>
        </c:ser>
        <c:ser>
          <c:idx val="1"/>
          <c:order val="1"/>
          <c:tx>
            <c:strRef>
              <c:f>Ciepło!$E$6</c:f>
              <c:strCache>
                <c:ptCount val="1"/>
                <c:pt idx="0">
                  <c:v>gaz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(Ciepło!$E$12,Ciepło!$E$20,Ciepło!$E$28)</c15:sqref>
                  </c15:fullRef>
                </c:ext>
              </c:extLst>
              <c:f>(Ciepło!$E$12,Ciepło!$E$20,Ciepło!$E$28)</c:f>
              <c:strCache>
                <c:ptCount val="3"/>
                <c:pt idx="0">
                  <c:v>2014</c:v>
                </c:pt>
                <c:pt idx="1">
                  <c:v>Rok kontrolny 2017</c:v>
                </c:pt>
                <c:pt idx="2">
                  <c:v>2020 - Prognoza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(Ciepło!$G$6,Ciepło!$G$14,Ciepło!$G$22,Ciepło!$G$30)</c15:sqref>
                  </c15:fullRef>
                </c:ext>
              </c:extLst>
              <c:f>(Ciepło!$G$6,Ciepło!$G$14,Ciepło!$G$22)</c:f>
              <c:numCache>
                <c:formatCode>_(* #,##0.00_);_(* \(#,##0.00\);_(* "-"??_);_(@_)</c:formatCode>
                <c:ptCount val="3"/>
                <c:pt idx="0">
                  <c:v>150595.6525</c:v>
                </c:pt>
                <c:pt idx="1">
                  <c:v>246206.11301160298</c:v>
                </c:pt>
                <c:pt idx="2">
                  <c:v>252814.73986101992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C5-4C12-BC0B-6A23BC2E7149}"/>
            </c:ext>
          </c:extLst>
        </c:ser>
        <c:ser>
          <c:idx val="2"/>
          <c:order val="2"/>
          <c:tx>
            <c:strRef>
              <c:f>Ciepło!$E$7</c:f>
              <c:strCache>
                <c:ptCount val="1"/>
                <c:pt idx="0">
                  <c:v>węgiel i ekogroszek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(Ciepło!$E$12,Ciepło!$E$20,Ciepło!$E$28)</c15:sqref>
                  </c15:fullRef>
                </c:ext>
              </c:extLst>
              <c:f>(Ciepło!$E$12,Ciepło!$E$20,Ciepło!$E$28)</c:f>
              <c:strCache>
                <c:ptCount val="3"/>
                <c:pt idx="0">
                  <c:v>2014</c:v>
                </c:pt>
                <c:pt idx="1">
                  <c:v>Rok kontrolny 2017</c:v>
                </c:pt>
                <c:pt idx="2">
                  <c:v>2020 - Prognoza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(Ciepło!$G$7,Ciepło!$G$15,Ciepło!$G$23,Ciepło!$G$31)</c15:sqref>
                  </c15:fullRef>
                </c:ext>
              </c:extLst>
              <c:f>(Ciepło!$G$7,Ciepło!$G$15,Ciepło!$G$23)</c:f>
              <c:numCache>
                <c:formatCode>_(* #,##0.00_);_(* \(#,##0.00\);_(* "-"??_);_(@_)</c:formatCode>
                <c:ptCount val="3"/>
                <c:pt idx="0">
                  <c:v>491544.20975999994</c:v>
                </c:pt>
                <c:pt idx="1">
                  <c:v>638678.07545505208</c:v>
                </c:pt>
                <c:pt idx="2">
                  <c:v>655821.37472555914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C5-4C12-BC0B-6A23BC2E7149}"/>
            </c:ext>
          </c:extLst>
        </c:ser>
        <c:ser>
          <c:idx val="3"/>
          <c:order val="3"/>
          <c:tx>
            <c:strRef>
              <c:f>Ciepło!$E$8</c:f>
              <c:strCache>
                <c:ptCount val="1"/>
                <c:pt idx="0">
                  <c:v>en. elektryczna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(Ciepło!$E$12,Ciepło!$E$20,Ciepło!$E$28)</c15:sqref>
                  </c15:fullRef>
                </c:ext>
              </c:extLst>
              <c:f>(Ciepło!$E$12,Ciepło!$E$20,Ciepło!$E$28)</c:f>
              <c:strCache>
                <c:ptCount val="3"/>
                <c:pt idx="0">
                  <c:v>2014</c:v>
                </c:pt>
                <c:pt idx="1">
                  <c:v>Rok kontrolny 2017</c:v>
                </c:pt>
                <c:pt idx="2">
                  <c:v>2020 - Prognoza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(Ciepło!$G$8,Ciepło!$G$16,Ciepło!$G$24,Ciepło!$G$32)</c15:sqref>
                  </c15:fullRef>
                </c:ext>
              </c:extLst>
              <c:f>(Ciepło!$G$8,Ciepło!$G$16,Ciepło!$G$24)</c:f>
              <c:numCache>
                <c:formatCode>_(* #,##0.00_);_(* \(#,##0.00\);_(* "-"??_);_(@_)</c:formatCode>
                <c:ptCount val="3"/>
                <c:pt idx="0">
                  <c:v>36142.956599999998</c:v>
                </c:pt>
                <c:pt idx="1">
                  <c:v>63084.883146</c:v>
                </c:pt>
                <c:pt idx="2">
                  <c:v>64778.196593907749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C5-4C12-BC0B-6A23BC2E7149}"/>
            </c:ext>
          </c:extLst>
        </c:ser>
        <c:ser>
          <c:idx val="4"/>
          <c:order val="4"/>
          <c:tx>
            <c:strRef>
              <c:f>Ciepło!$E$9</c:f>
              <c:strCache>
                <c:ptCount val="1"/>
                <c:pt idx="0">
                  <c:v>olej opałowy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(Ciepło!$E$12,Ciepło!$E$20,Ciepło!$E$28)</c15:sqref>
                  </c15:fullRef>
                </c:ext>
              </c:extLst>
              <c:f>(Ciepło!$E$12,Ciepło!$E$20,Ciepło!$E$28)</c:f>
              <c:strCache>
                <c:ptCount val="3"/>
                <c:pt idx="0">
                  <c:v>2014</c:v>
                </c:pt>
                <c:pt idx="1">
                  <c:v>Rok kontrolny 2017</c:v>
                </c:pt>
                <c:pt idx="2">
                  <c:v>2020 - Prognoza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(Ciepło!$G$9,Ciepło!$G$17,Ciepło!$G$25,Ciepło!$G$33)</c15:sqref>
                  </c15:fullRef>
                </c:ext>
              </c:extLst>
              <c:f>(Ciepło!$G$9,Ciepło!$G$17,Ciepło!$G$25)</c:f>
              <c:numCache>
                <c:formatCode>_(* #,##0.00_);_(* \(#,##0.00\);_(* "-"??_);_(@_)</c:formatCode>
                <c:ptCount val="3"/>
                <c:pt idx="0">
                  <c:v>14457.182639999999</c:v>
                </c:pt>
                <c:pt idx="1">
                  <c:v>40947.55904</c:v>
                </c:pt>
                <c:pt idx="2">
                  <c:v>42046.667160345802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C5-4C12-BC0B-6A23BC2E7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65197704"/>
        <c:axId val="365200056"/>
      </c:barChart>
      <c:catAx>
        <c:axId val="365197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5200056"/>
        <c:crosses val="autoZero"/>
        <c:auto val="1"/>
        <c:lblAlgn val="ctr"/>
        <c:lblOffset val="100"/>
        <c:noMultiLvlLbl val="0"/>
      </c:catAx>
      <c:valAx>
        <c:axId val="365200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51977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Ogólna powierzchnia mieszkań na terenie miasta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Charakterystyka!$B$65</c:f>
              <c:strCache>
                <c:ptCount val="1"/>
                <c:pt idx="0">
                  <c:v>Ogólna powierzchnia mieszkań [m2]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cat>
            <c:numRef>
              <c:f>Charakterystyka!$C$66:$T$66</c:f>
              <c:numCache>
                <c:formatCode>0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Charakterystyka!$C$67:$T$67</c:f>
              <c:numCache>
                <c:formatCode>#,##0</c:formatCode>
                <c:ptCount val="18"/>
                <c:pt idx="0">
                  <c:v>863588</c:v>
                </c:pt>
                <c:pt idx="1">
                  <c:v>875289</c:v>
                </c:pt>
                <c:pt idx="2">
                  <c:v>995821</c:v>
                </c:pt>
                <c:pt idx="3">
                  <c:v>1013566</c:v>
                </c:pt>
                <c:pt idx="4">
                  <c:v>1026262</c:v>
                </c:pt>
                <c:pt idx="5">
                  <c:v>1035005</c:v>
                </c:pt>
                <c:pt idx="6">
                  <c:v>1045834</c:v>
                </c:pt>
                <c:pt idx="7">
                  <c:v>1054448</c:v>
                </c:pt>
                <c:pt idx="8">
                  <c:v>1065247</c:v>
                </c:pt>
                <c:pt idx="9">
                  <c:v>1077220</c:v>
                </c:pt>
                <c:pt idx="10">
                  <c:v>1136512</c:v>
                </c:pt>
                <c:pt idx="11">
                  <c:v>1143129</c:v>
                </c:pt>
                <c:pt idx="12">
                  <c:v>1147078</c:v>
                </c:pt>
                <c:pt idx="13">
                  <c:v>1156352</c:v>
                </c:pt>
                <c:pt idx="14">
                  <c:v>1170374</c:v>
                </c:pt>
                <c:pt idx="15" formatCode="General">
                  <c:v>1182779</c:v>
                </c:pt>
                <c:pt idx="16" formatCode="General">
                  <c:v>1188039</c:v>
                </c:pt>
                <c:pt idx="17" formatCode="General">
                  <c:v>1201789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4-4152-B1ED-EA631C6E0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713968"/>
        <c:axId val="364707696"/>
      </c:barChart>
      <c:catAx>
        <c:axId val="3647139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64707696"/>
        <c:crosses val="autoZero"/>
        <c:auto val="1"/>
        <c:lblAlgn val="ctr"/>
        <c:lblOffset val="100"/>
        <c:noMultiLvlLbl val="0"/>
      </c:catAx>
      <c:valAx>
        <c:axId val="3647076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64713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Emisja generowana</a:t>
            </a:r>
            <a:r>
              <a:rPr lang="pl-PL" baseline="0"/>
              <a:t> przez</a:t>
            </a:r>
            <a:r>
              <a:rPr lang="pl-PL"/>
              <a:t> pokrycie zapotrzebowania na energię</a:t>
            </a:r>
            <a:r>
              <a:rPr lang="pl-PL" baseline="0"/>
              <a:t> cieplną</a:t>
            </a:r>
            <a:br>
              <a:rPr lang="pl-PL" baseline="0"/>
            </a:br>
            <a:r>
              <a:rPr lang="pl-PL" baseline="0"/>
              <a:t> [Mg CO</a:t>
            </a:r>
            <a:r>
              <a:rPr lang="pl-PL" baseline="-25000"/>
              <a:t>2</a:t>
            </a:r>
            <a:r>
              <a:rPr lang="pl-PL" baseline="0"/>
              <a:t>]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Ciepło!$E$5</c:f>
              <c:strCache>
                <c:ptCount val="1"/>
                <c:pt idx="0">
                  <c:v>ciepło systemowe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(Ciepło!$E$12,Ciepło!$E$20,Ciepło!$E$28)</c15:sqref>
                  </c15:fullRef>
                </c:ext>
              </c:extLst>
              <c:f>(Ciepło!$E$12,Ciepło!$E$20,Ciepło!$E$28)</c:f>
              <c:strCache>
                <c:ptCount val="3"/>
                <c:pt idx="0">
                  <c:v>2014</c:v>
                </c:pt>
                <c:pt idx="1">
                  <c:v>Rok kontrolny 2017</c:v>
                </c:pt>
                <c:pt idx="2">
                  <c:v>2020 - Prognoza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(Ciepło!$J$5,Ciepło!$J$13,Ciepło!$J$21,Ciepło!$J$29)</c15:sqref>
                  </c15:fullRef>
                </c:ext>
              </c:extLst>
              <c:f>(Ciepło!$J$5,Ciepło!$J$13,Ciepło!$J$21)</c:f>
              <c:numCache>
                <c:formatCode>_(* #,##0.00_);_(* \(#,##0.00\);_(* "-"??_);_(@_)</c:formatCode>
                <c:ptCount val="3"/>
                <c:pt idx="0">
                  <c:v>48130.37068</c:v>
                </c:pt>
                <c:pt idx="1">
                  <c:v>27325.291460000004</c:v>
                </c:pt>
                <c:pt idx="2">
                  <c:v>27325.291460000004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F-4F1F-A87C-D192979E0CDB}"/>
            </c:ext>
          </c:extLst>
        </c:ser>
        <c:ser>
          <c:idx val="1"/>
          <c:order val="1"/>
          <c:tx>
            <c:strRef>
              <c:f>Ciepło!$E$6</c:f>
              <c:strCache>
                <c:ptCount val="1"/>
                <c:pt idx="0">
                  <c:v>gaz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(Ciepło!$E$12,Ciepło!$E$20,Ciepło!$E$28)</c15:sqref>
                  </c15:fullRef>
                </c:ext>
              </c:extLst>
              <c:f>(Ciepło!$E$12,Ciepło!$E$20,Ciepło!$E$28)</c:f>
              <c:strCache>
                <c:ptCount val="3"/>
                <c:pt idx="0">
                  <c:v>2014</c:v>
                </c:pt>
                <c:pt idx="1">
                  <c:v>Rok kontrolny 2017</c:v>
                </c:pt>
                <c:pt idx="2">
                  <c:v>2020 - Prognoza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(Ciepło!$J$6,Ciepło!$J$14,Ciepło!$J$22,Ciepło!$J$30)</c15:sqref>
                  </c15:fullRef>
                </c:ext>
              </c:extLst>
              <c:f>(Ciepło!$J$6,Ciepło!$J$14,Ciepło!$J$22)</c:f>
              <c:numCache>
                <c:formatCode>_(* #,##0.00_);_(* \(#,##0.00\);_(* "-"??_);_(@_)</c:formatCode>
                <c:ptCount val="3"/>
                <c:pt idx="0">
                  <c:v>8282.7608875000005</c:v>
                </c:pt>
                <c:pt idx="1">
                  <c:v>13541.336215638165</c:v>
                </c:pt>
                <c:pt idx="2">
                  <c:v>13904.810692356095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F-4F1F-A87C-D192979E0CDB}"/>
            </c:ext>
          </c:extLst>
        </c:ser>
        <c:ser>
          <c:idx val="2"/>
          <c:order val="2"/>
          <c:tx>
            <c:strRef>
              <c:f>Ciepło!$E$7</c:f>
              <c:strCache>
                <c:ptCount val="1"/>
                <c:pt idx="0">
                  <c:v>węgiel i ekogroszek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(Ciepło!$E$12,Ciepło!$E$20,Ciepło!$E$28)</c15:sqref>
                  </c15:fullRef>
                </c:ext>
              </c:extLst>
              <c:f>(Ciepło!$E$12,Ciepło!$E$20,Ciepło!$E$28)</c:f>
              <c:strCache>
                <c:ptCount val="3"/>
                <c:pt idx="0">
                  <c:v>2014</c:v>
                </c:pt>
                <c:pt idx="1">
                  <c:v>Rok kontrolny 2017</c:v>
                </c:pt>
                <c:pt idx="2">
                  <c:v>2020 - Prognoza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(Ciepło!$J$7,Ciepło!$J$15,Ciepło!$J$23,Ciepło!$J$31)</c15:sqref>
                  </c15:fullRef>
                </c:ext>
              </c:extLst>
              <c:f>(Ciepło!$J$7,Ciepło!$J$15,Ciepło!$J$23)</c:f>
              <c:numCache>
                <c:formatCode>_(* #,##0.00_);_(* \(#,##0.00\);_(* "-"??_);_(@_)</c:formatCode>
                <c:ptCount val="3"/>
                <c:pt idx="0">
                  <c:v>48171.332556479996</c:v>
                </c:pt>
                <c:pt idx="1">
                  <c:v>62590.451394595104</c:v>
                </c:pt>
                <c:pt idx="2">
                  <c:v>64270.494723104799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CF-4F1F-A87C-D192979E0CDB}"/>
            </c:ext>
          </c:extLst>
        </c:ser>
        <c:ser>
          <c:idx val="3"/>
          <c:order val="3"/>
          <c:tx>
            <c:strRef>
              <c:f>Ciepło!$E$8</c:f>
              <c:strCache>
                <c:ptCount val="1"/>
                <c:pt idx="0">
                  <c:v>en. elektryczna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(Ciepło!$E$12,Ciepło!$E$20,Ciepło!$E$28)</c15:sqref>
                  </c15:fullRef>
                </c:ext>
              </c:extLst>
              <c:f>(Ciepło!$E$12,Ciepło!$E$20,Ciepło!$E$28)</c:f>
              <c:strCache>
                <c:ptCount val="3"/>
                <c:pt idx="0">
                  <c:v>2014</c:v>
                </c:pt>
                <c:pt idx="1">
                  <c:v>Rok kontrolny 2017</c:v>
                </c:pt>
                <c:pt idx="2">
                  <c:v>2020 - Prognoza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(Ciepło!$J$8,Ciepło!$J$16,Ciepło!$J$24,Ciepło!$J$32)</c15:sqref>
                  </c15:fullRef>
                </c:ext>
              </c:extLst>
              <c:f>(Ciepło!$J$8,Ciepło!$J$16,Ciepło!$J$24)</c:f>
              <c:numCache>
                <c:formatCode>_(* #,##0.00_);_(* \(#,##0.00\);_(* "-"??_);_(@_)</c:formatCode>
                <c:ptCount val="3"/>
                <c:pt idx="0">
                  <c:v>8168.3081916000001</c:v>
                </c:pt>
                <c:pt idx="1">
                  <c:v>14257.183590996001</c:v>
                </c:pt>
                <c:pt idx="2">
                  <c:v>14639.872430223151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CF-4F1F-A87C-D192979E0CDB}"/>
            </c:ext>
          </c:extLst>
        </c:ser>
        <c:ser>
          <c:idx val="4"/>
          <c:order val="4"/>
          <c:tx>
            <c:strRef>
              <c:f>Ciepło!$E$9</c:f>
              <c:strCache>
                <c:ptCount val="1"/>
                <c:pt idx="0">
                  <c:v>olej opałowy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(Ciepło!$E$12,Ciepło!$E$20,Ciepło!$E$28)</c15:sqref>
                  </c15:fullRef>
                </c:ext>
              </c:extLst>
              <c:f>(Ciepło!$E$12,Ciepło!$E$20,Ciepło!$E$28)</c:f>
              <c:strCache>
                <c:ptCount val="3"/>
                <c:pt idx="0">
                  <c:v>2014</c:v>
                </c:pt>
                <c:pt idx="1">
                  <c:v>Rok kontrolny 2017</c:v>
                </c:pt>
                <c:pt idx="2">
                  <c:v>2020 - Prognoza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(Ciepło!$J$9,Ciepło!$J$17,Ciepło!$J$25,Ciepło!$J$33)</c15:sqref>
                  </c15:fullRef>
                </c:ext>
              </c:extLst>
              <c:f>(Ciepło!$J$9,Ciepło!$J$17,Ciepło!$J$25)</c:f>
              <c:numCache>
                <c:formatCode>_(* #,##0.00_);_(* \(#,##0.00\);_(* "-"??_);_(@_)</c:formatCode>
                <c:ptCount val="3"/>
                <c:pt idx="0">
                  <c:v>1098.74588064</c:v>
                </c:pt>
                <c:pt idx="1">
                  <c:v>3112.0144870399999</c:v>
                </c:pt>
                <c:pt idx="2">
                  <c:v>3195.5467041862807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CF-4F1F-A87C-D192979E0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65194960"/>
        <c:axId val="365196528"/>
      </c:barChart>
      <c:catAx>
        <c:axId val="365194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5196528"/>
        <c:crosses val="autoZero"/>
        <c:auto val="1"/>
        <c:lblAlgn val="ctr"/>
        <c:lblOffset val="100"/>
        <c:noMultiLvlLbl val="0"/>
      </c:catAx>
      <c:valAx>
        <c:axId val="36519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51949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Bilans emisji wg rodzajów paliw [Mg CO</a:t>
            </a:r>
            <a:r>
              <a:rPr lang="pl-PL" baseline="-25000"/>
              <a:t>2</a:t>
            </a:r>
            <a:r>
              <a:rPr lang="pl-PL"/>
              <a:t>]</a:t>
            </a:r>
            <a:endParaRPr lang="pl-PL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Bilans!$B$6</c:f>
              <c:strCache>
                <c:ptCount val="1"/>
                <c:pt idx="0">
                  <c:v>energia elektryczna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Bilans!$C$5:$E$5</c:f>
              <c:strCache>
                <c:ptCount val="3"/>
                <c:pt idx="0">
                  <c:v>2014</c:v>
                </c:pt>
                <c:pt idx="1">
                  <c:v>Rok kontrolny 2017</c:v>
                </c:pt>
                <c:pt idx="2">
                  <c:v>2020 - prognoza</c:v>
                </c:pt>
              </c:strCache>
            </c:strRef>
          </c:cat>
          <c:val>
            <c:numRef>
              <c:f>Bilans!$C$6:$E$6</c:f>
              <c:numCache>
                <c:formatCode>#,##0.00</c:formatCode>
                <c:ptCount val="3"/>
                <c:pt idx="0">
                  <c:v>122782.09451200001</c:v>
                </c:pt>
                <c:pt idx="1">
                  <c:v>139161.47756</c:v>
                </c:pt>
                <c:pt idx="2">
                  <c:v>143565.14888469031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C-4E30-BAD9-CCC3A8C369EC}"/>
            </c:ext>
          </c:extLst>
        </c:ser>
        <c:ser>
          <c:idx val="0"/>
          <c:order val="1"/>
          <c:tx>
            <c:strRef>
              <c:f>Bilans!$B$7</c:f>
              <c:strCache>
                <c:ptCount val="1"/>
                <c:pt idx="0">
                  <c:v>gaz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Bilans!$C$7:$E$7</c:f>
              <c:numCache>
                <c:formatCode>#,##0.00</c:formatCode>
                <c:ptCount val="3"/>
                <c:pt idx="0">
                  <c:v>52501.987999999998</c:v>
                </c:pt>
                <c:pt idx="1">
                  <c:v>53921.774126174714</c:v>
                </c:pt>
                <c:pt idx="2">
                  <c:v>57645.905185923089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6C-4E30-BAD9-CCC3A8C369EC}"/>
            </c:ext>
          </c:extLst>
        </c:ser>
        <c:ser>
          <c:idx val="1"/>
          <c:order val="2"/>
          <c:tx>
            <c:strRef>
              <c:f>Bilans!$B$8</c:f>
              <c:strCache>
                <c:ptCount val="1"/>
                <c:pt idx="0">
                  <c:v>paliwa transportowe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Bilans!$C$8:$E$8</c:f>
              <c:numCache>
                <c:formatCode>#,##0.00</c:formatCode>
                <c:ptCount val="3"/>
                <c:pt idx="0">
                  <c:v>140388.41117916428</c:v>
                </c:pt>
                <c:pt idx="1">
                  <c:v>120315.75557933198</c:v>
                </c:pt>
                <c:pt idx="2">
                  <c:v>135156.18303165952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6C-4E30-BAD9-CCC3A8C369EC}"/>
            </c:ext>
          </c:extLst>
        </c:ser>
        <c:ser>
          <c:idx val="2"/>
          <c:order val="3"/>
          <c:tx>
            <c:strRef>
              <c:f>Bilans!$B$9</c:f>
              <c:strCache>
                <c:ptCount val="1"/>
                <c:pt idx="0">
                  <c:v>paliwa opałowe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Bilans!$C$9:$E$9</c:f>
              <c:numCache>
                <c:formatCode>#,##0.00</c:formatCode>
                <c:ptCount val="3"/>
                <c:pt idx="0">
                  <c:v>65702.4658816351</c:v>
                </c:pt>
                <c:pt idx="1">
                  <c:v>67466.041427291086</c:v>
                </c:pt>
                <c:pt idx="2">
                  <c:v>71091.939630705165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6C-4E30-BAD9-CCC3A8C369EC}"/>
            </c:ext>
          </c:extLst>
        </c:ser>
        <c:ser>
          <c:idx val="3"/>
          <c:order val="4"/>
          <c:tx>
            <c:strRef>
              <c:f>Bilans!$B$10</c:f>
              <c:strCache>
                <c:ptCount val="1"/>
                <c:pt idx="0">
                  <c:v>ciepło systemowe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Bilans!$C$10:$E$10</c:f>
              <c:numCache>
                <c:formatCode>#,##0.00</c:formatCode>
                <c:ptCount val="3"/>
                <c:pt idx="0">
                  <c:v>51120.468380000006</c:v>
                </c:pt>
                <c:pt idx="1">
                  <c:v>50797.131560819558</c:v>
                </c:pt>
                <c:pt idx="2">
                  <c:v>55313.802739999999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6C-4E30-BAD9-CCC3A8C36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69440376"/>
        <c:axId val="369441552"/>
      </c:barChart>
      <c:catAx>
        <c:axId val="369440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9441552"/>
        <c:crosses val="autoZero"/>
        <c:auto val="1"/>
        <c:lblAlgn val="ctr"/>
        <c:lblOffset val="100"/>
        <c:noMultiLvlLbl val="0"/>
      </c:catAx>
      <c:valAx>
        <c:axId val="36944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944037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Bilans emisji wg sektorów [Mg CO</a:t>
            </a:r>
            <a:r>
              <a:rPr lang="pl-PL" baseline="-25000"/>
              <a:t>2</a:t>
            </a:r>
            <a:r>
              <a:rPr lang="pl-PL"/>
              <a:t>]</a:t>
            </a:r>
            <a:endParaRPr lang="pl-PL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stacked"/>
        <c:varyColors val="0"/>
        <c:ser>
          <c:idx val="4"/>
          <c:order val="0"/>
          <c:tx>
            <c:strRef>
              <c:f>Bilans!$H$6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Bilans!$I$5:$K$5</c:f>
              <c:strCache>
                <c:ptCount val="3"/>
                <c:pt idx="0">
                  <c:v>2014</c:v>
                </c:pt>
                <c:pt idx="1">
                  <c:v>Rok kontrolny 2017</c:v>
                </c:pt>
                <c:pt idx="2">
                  <c:v>2020 - prognoza</c:v>
                </c:pt>
              </c:strCache>
            </c:strRef>
          </c:cat>
          <c:val>
            <c:numRef>
              <c:f>Bilans!$I$6:$K$6</c:f>
              <c:numCache>
                <c:formatCode>#,##0.00</c:formatCode>
                <c:ptCount val="3"/>
                <c:pt idx="0">
                  <c:v>148135.61699163509</c:v>
                </c:pt>
                <c:pt idx="1">
                  <c:v>159153.71165454914</c:v>
                </c:pt>
                <c:pt idx="2">
                  <c:v>164239.67868915523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CF-436F-8094-83938FD905FC}"/>
            </c:ext>
          </c:extLst>
        </c:ser>
        <c:ser>
          <c:idx val="0"/>
          <c:order val="1"/>
          <c:tx>
            <c:strRef>
              <c:f>Bilans!$H$7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Bilans!$I$5:$K$5</c:f>
              <c:strCache>
                <c:ptCount val="3"/>
                <c:pt idx="0">
                  <c:v>2014</c:v>
                </c:pt>
                <c:pt idx="1">
                  <c:v>Rok kontrolny 2017</c:v>
                </c:pt>
                <c:pt idx="2">
                  <c:v>2020 - prognoza</c:v>
                </c:pt>
              </c:strCache>
            </c:strRef>
          </c:cat>
          <c:val>
            <c:numRef>
              <c:f>Bilans!$I$7:$K$7</c:f>
              <c:numCache>
                <c:formatCode>#,##0.00</c:formatCode>
                <c:ptCount val="3"/>
                <c:pt idx="0">
                  <c:v>117932.47669</c:v>
                </c:pt>
                <c:pt idx="1">
                  <c:v>56240.912670530488</c:v>
                </c:pt>
                <c:pt idx="2">
                  <c:v>134348.13836714218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CF-436F-8094-83938FD905FC}"/>
            </c:ext>
          </c:extLst>
        </c:ser>
        <c:ser>
          <c:idx val="1"/>
          <c:order val="2"/>
          <c:tx>
            <c:strRef>
              <c:f>Bilans!$H$8</c:f>
              <c:strCache>
                <c:ptCount val="1"/>
                <c:pt idx="0">
                  <c:v>Handel i usługi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Bilans!$I$5:$K$5</c:f>
              <c:strCache>
                <c:ptCount val="3"/>
                <c:pt idx="0">
                  <c:v>2014</c:v>
                </c:pt>
                <c:pt idx="1">
                  <c:v>Rok kontrolny 2017</c:v>
                </c:pt>
                <c:pt idx="2">
                  <c:v>2020 - prognoza</c:v>
                </c:pt>
              </c:strCache>
            </c:strRef>
          </c:cat>
          <c:val>
            <c:numRef>
              <c:f>Bilans!$I$8:$K$8</c:f>
              <c:numCache>
                <c:formatCode>#,##0.00</c:formatCode>
                <c:ptCount val="3"/>
                <c:pt idx="0">
                  <c:v>20176.54954</c:v>
                </c:pt>
                <c:pt idx="1">
                  <c:v>89636.30845902265</c:v>
                </c:pt>
                <c:pt idx="2">
                  <c:v>22843.03314204112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CF-436F-8094-83938FD905FC}"/>
            </c:ext>
          </c:extLst>
        </c:ser>
        <c:ser>
          <c:idx val="2"/>
          <c:order val="3"/>
          <c:tx>
            <c:strRef>
              <c:f>Bilans!$H$9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Bilans!$I$5:$K$5</c:f>
              <c:strCache>
                <c:ptCount val="3"/>
                <c:pt idx="0">
                  <c:v>2014</c:v>
                </c:pt>
                <c:pt idx="1">
                  <c:v>Rok kontrolny 2017</c:v>
                </c:pt>
                <c:pt idx="2">
                  <c:v>2020 - prognoza</c:v>
                </c:pt>
              </c:strCache>
            </c:strRef>
          </c:cat>
          <c:val>
            <c:numRef>
              <c:f>Bilans!$I$9:$K$9</c:f>
              <c:numCache>
                <c:formatCode>#,##0.00</c:formatCode>
                <c:ptCount val="3"/>
                <c:pt idx="0">
                  <c:v>140388.41117916428</c:v>
                </c:pt>
                <c:pt idx="1">
                  <c:v>120315.75557933198</c:v>
                </c:pt>
                <c:pt idx="2">
                  <c:v>135156.18303165952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CF-436F-8094-83938FD905FC}"/>
            </c:ext>
          </c:extLst>
        </c:ser>
        <c:ser>
          <c:idx val="3"/>
          <c:order val="4"/>
          <c:tx>
            <c:strRef>
              <c:f>Bilans!$H$10</c:f>
              <c:strCache>
                <c:ptCount val="1"/>
                <c:pt idx="0">
                  <c:v>Oświetlenie uliczne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Bilans!$I$5:$K$5</c:f>
              <c:strCache>
                <c:ptCount val="3"/>
                <c:pt idx="0">
                  <c:v>2014</c:v>
                </c:pt>
                <c:pt idx="1">
                  <c:v>Rok kontrolny 2017</c:v>
                </c:pt>
                <c:pt idx="2">
                  <c:v>2020 - prognoza</c:v>
                </c:pt>
              </c:strCache>
            </c:strRef>
          </c:cat>
          <c:val>
            <c:numRef>
              <c:f>Bilans!$I$10:$K$10</c:f>
              <c:numCache>
                <c:formatCode>#,##0.00</c:formatCode>
                <c:ptCount val="3"/>
                <c:pt idx="0">
                  <c:v>900.55672000000004</c:v>
                </c:pt>
                <c:pt idx="1">
                  <c:v>1415.77072</c:v>
                </c:pt>
                <c:pt idx="2">
                  <c:v>900.55672000000004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CF-436F-8094-83938FD90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69442336"/>
        <c:axId val="369440768"/>
      </c:barChart>
      <c:catAx>
        <c:axId val="369442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9440768"/>
        <c:crosses val="autoZero"/>
        <c:auto val="1"/>
        <c:lblAlgn val="ctr"/>
        <c:lblOffset val="100"/>
        <c:noMultiLvlLbl val="0"/>
      </c:catAx>
      <c:valAx>
        <c:axId val="36944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944233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Bilans emisji wg rodzajów paliw</a:t>
            </a:r>
            <a:r>
              <a:rPr lang="pl-PL"/>
              <a:t> w roku 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Bilans!$B$4</c:f>
              <c:strCache>
                <c:ptCount val="1"/>
                <c:pt idx="0">
                  <c:v>Bilans emisji wg rodzajów paliw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6F-4E52-B591-4C30EFF9E31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36F-4E52-B591-4C30EFF9E31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36F-4E52-B591-4C30EFF9E311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36F-4E52-B591-4C30EFF9E311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36F-4E52-B591-4C30EFF9E3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Bilans!$B$6:$B$10</c:f>
              <c:strCache>
                <c:ptCount val="5"/>
                <c:pt idx="0">
                  <c:v>energia elektryczna</c:v>
                </c:pt>
                <c:pt idx="1">
                  <c:v>gaz</c:v>
                </c:pt>
                <c:pt idx="2">
                  <c:v>paliwa transportowe</c:v>
                </c:pt>
                <c:pt idx="3">
                  <c:v>paliwa opałowe</c:v>
                </c:pt>
                <c:pt idx="4">
                  <c:v>ciepło systemowe</c:v>
                </c:pt>
              </c:strCache>
            </c:strRef>
          </c:cat>
          <c:val>
            <c:numRef>
              <c:f>Bilans!$C$6:$C$10</c:f>
              <c:numCache>
                <c:formatCode>#,##0.00</c:formatCode>
                <c:ptCount val="5"/>
                <c:pt idx="0">
                  <c:v>122782.09451200001</c:v>
                </c:pt>
                <c:pt idx="1">
                  <c:v>52501.987999999998</c:v>
                </c:pt>
                <c:pt idx="2">
                  <c:v>140388.41117916428</c:v>
                </c:pt>
                <c:pt idx="3">
                  <c:v>65702.4658816351</c:v>
                </c:pt>
                <c:pt idx="4">
                  <c:v>51120.468380000006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36F-4E52-B591-4C30EFF9E3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Bilans emisji wg rodzajów paliw</a:t>
            </a:r>
            <a:r>
              <a:rPr lang="pl-PL"/>
              <a:t> w roku 2020</a:t>
            </a:r>
          </a:p>
          <a:p>
            <a:pPr>
              <a:defRPr/>
            </a:pPr>
            <a:r>
              <a:rPr lang="pl-PL"/>
              <a:t> - prognoza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Bilans!$B$4</c:f>
              <c:strCache>
                <c:ptCount val="1"/>
                <c:pt idx="0">
                  <c:v>Bilans emisji wg rodzajów paliw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ED-4C74-B5CB-782BA968996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ED-4C74-B5CB-782BA968996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ED-4C74-B5CB-782BA9689967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4ED-4C74-B5CB-782BA9689967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4ED-4C74-B5CB-782BA96899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Bilans!$B$6:$B$10</c:f>
              <c:strCache>
                <c:ptCount val="5"/>
                <c:pt idx="0">
                  <c:v>energia elektryczna</c:v>
                </c:pt>
                <c:pt idx="1">
                  <c:v>gaz</c:v>
                </c:pt>
                <c:pt idx="2">
                  <c:v>paliwa transportowe</c:v>
                </c:pt>
                <c:pt idx="3">
                  <c:v>paliwa opałowe</c:v>
                </c:pt>
                <c:pt idx="4">
                  <c:v>ciepło systemowe</c:v>
                </c:pt>
              </c:strCache>
            </c:strRef>
          </c:cat>
          <c:val>
            <c:numRef>
              <c:f>Bilans!$E$6:$E$10</c:f>
              <c:numCache>
                <c:formatCode>#,##0.00</c:formatCode>
                <c:ptCount val="5"/>
                <c:pt idx="0">
                  <c:v>143565.14888469031</c:v>
                </c:pt>
                <c:pt idx="1">
                  <c:v>57645.905185923089</c:v>
                </c:pt>
                <c:pt idx="2">
                  <c:v>135156.18303165952</c:v>
                </c:pt>
                <c:pt idx="3">
                  <c:v>71091.939630705165</c:v>
                </c:pt>
                <c:pt idx="4">
                  <c:v>55313.802739999999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4ED-4C74-B5CB-782BA968996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Średnia powierzchnia mieszkań na terenie gminy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Charakterystyka!$B$84</c:f>
              <c:strCache>
                <c:ptCount val="1"/>
                <c:pt idx="0">
                  <c:v>Średnia powierzchnia mieszkań  [m2]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Charakterystyka!$E$85:$T$85</c15:sqref>
                  </c15:fullRef>
                </c:ext>
              </c:extLst>
              <c:f>Charakterystyka!$G$85:$T$85</c:f>
              <c:numCache>
                <c:formatCode>0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Charakterystyka!$E$86:$T$86</c15:sqref>
                  </c15:fullRef>
                </c:ext>
              </c:extLst>
              <c:f>Charakterystyka!$G$86:$T$86</c:f>
              <c:numCache>
                <c:formatCode>#\ ##0.0</c:formatCode>
                <c:ptCount val="14"/>
                <c:pt idx="0">
                  <c:v>66.5</c:v>
                </c:pt>
                <c:pt idx="1">
                  <c:v>66.7</c:v>
                </c:pt>
                <c:pt idx="2">
                  <c:v>66.900000000000006</c:v>
                </c:pt>
                <c:pt idx="3">
                  <c:v>67.2</c:v>
                </c:pt>
                <c:pt idx="4">
                  <c:v>67.3</c:v>
                </c:pt>
                <c:pt idx="5">
                  <c:v>67.7</c:v>
                </c:pt>
                <c:pt idx="6">
                  <c:v>69.599999999999994</c:v>
                </c:pt>
                <c:pt idx="7">
                  <c:v>69.8</c:v>
                </c:pt>
                <c:pt idx="8">
                  <c:v>69.900000000000006</c:v>
                </c:pt>
                <c:pt idx="9">
                  <c:v>69.900000000000006</c:v>
                </c:pt>
                <c:pt idx="10">
                  <c:v>69.900000000000006</c:v>
                </c:pt>
                <c:pt idx="11">
                  <c:v>69.788706632050975</c:v>
                </c:pt>
                <c:pt idx="12">
                  <c:v>69.884647058823532</c:v>
                </c:pt>
                <c:pt idx="13">
                  <c:v>69.798408642118716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CF-4056-A92D-D0BEBE0F5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710832"/>
        <c:axId val="364711224"/>
      </c:barChart>
      <c:catAx>
        <c:axId val="3647108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64711224"/>
        <c:crosses val="autoZero"/>
        <c:auto val="1"/>
        <c:lblAlgn val="ctr"/>
        <c:lblOffset val="100"/>
        <c:noMultiLvlLbl val="0"/>
      </c:catAx>
      <c:valAx>
        <c:axId val="364711224"/>
        <c:scaling>
          <c:orientation val="minMax"/>
        </c:scaling>
        <c:delete val="0"/>
        <c:axPos val="l"/>
        <c:majorGridlines/>
        <c:numFmt formatCode="#\ ##0.0" sourceLinked="1"/>
        <c:majorTickMark val="out"/>
        <c:minorTickMark val="none"/>
        <c:tickLblPos val="nextTo"/>
        <c:crossAx val="36471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Ilość podmiotów gospodarczych zarejestrowanych na terenie miasta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Charakterystyka!$B$103</c:f>
              <c:strCache>
                <c:ptCount val="1"/>
                <c:pt idx="0">
                  <c:v>Zarejestrowane podmioty gospodarcze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cat>
            <c:numRef>
              <c:f>Charakterystyka!$C$104:$T$104</c:f>
              <c:numCache>
                <c:formatCode>0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Charakterystyka!$C$105:$T$105</c:f>
              <c:numCache>
                <c:formatCode>#,##0</c:formatCode>
                <c:ptCount val="18"/>
                <c:pt idx="0">
                  <c:v>4579</c:v>
                </c:pt>
                <c:pt idx="1">
                  <c:v>4641</c:v>
                </c:pt>
                <c:pt idx="2">
                  <c:v>4606</c:v>
                </c:pt>
                <c:pt idx="3">
                  <c:v>4585</c:v>
                </c:pt>
                <c:pt idx="4">
                  <c:v>4431</c:v>
                </c:pt>
                <c:pt idx="5">
                  <c:v>4461</c:v>
                </c:pt>
                <c:pt idx="6">
                  <c:v>4487</c:v>
                </c:pt>
                <c:pt idx="7">
                  <c:v>4529</c:v>
                </c:pt>
                <c:pt idx="8">
                  <c:v>4554</c:v>
                </c:pt>
                <c:pt idx="9">
                  <c:v>4405</c:v>
                </c:pt>
                <c:pt idx="10">
                  <c:v>4521</c:v>
                </c:pt>
                <c:pt idx="11">
                  <c:v>4426</c:v>
                </c:pt>
                <c:pt idx="12">
                  <c:v>4468</c:v>
                </c:pt>
                <c:pt idx="13">
                  <c:v>4541</c:v>
                </c:pt>
                <c:pt idx="14">
                  <c:v>4533</c:v>
                </c:pt>
                <c:pt idx="15">
                  <c:v>4559</c:v>
                </c:pt>
                <c:pt idx="16">
                  <c:v>4556</c:v>
                </c:pt>
                <c:pt idx="17">
                  <c:v>4466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1-4058-98CD-66C7BB37D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712400"/>
        <c:axId val="364714360"/>
      </c:barChart>
      <c:catAx>
        <c:axId val="36471240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64714360"/>
        <c:crosses val="autoZero"/>
        <c:auto val="1"/>
        <c:lblAlgn val="ctr"/>
        <c:lblOffset val="100"/>
        <c:noMultiLvlLbl val="0"/>
      </c:catAx>
      <c:valAx>
        <c:axId val="3647143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64712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Mieszkania z dostępem do gazu sieciowego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Charakterystyka!$B$122</c:f>
              <c:strCache>
                <c:ptCount val="1"/>
                <c:pt idx="0">
                  <c:v>Mieszkania z dostępem do gazu sieciowego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Charakterystyka!$C$123:$Q$123</c15:sqref>
                  </c15:fullRef>
                </c:ext>
              </c:extLst>
              <c:f>Charakterystyka!$H$123:$Q$123</c:f>
              <c:numCache>
                <c:formatCode>0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Charakterystyka!$C$124:$Q$124</c15:sqref>
                  </c15:fullRef>
                </c:ext>
              </c:extLst>
              <c:f>Charakterystyka!$H$124:$Q$124</c:f>
              <c:numCache>
                <c:formatCode>#,##0</c:formatCode>
                <c:ptCount val="10"/>
                <c:pt idx="0">
                  <c:v>11749</c:v>
                </c:pt>
                <c:pt idx="1">
                  <c:v>11850</c:v>
                </c:pt>
                <c:pt idx="2">
                  <c:v>12469</c:v>
                </c:pt>
                <c:pt idx="3">
                  <c:v>12495</c:v>
                </c:pt>
                <c:pt idx="4">
                  <c:v>12661</c:v>
                </c:pt>
                <c:pt idx="5">
                  <c:v>12875</c:v>
                </c:pt>
                <c:pt idx="6">
                  <c:v>12928</c:v>
                </c:pt>
                <c:pt idx="7">
                  <c:v>12949</c:v>
                </c:pt>
                <c:pt idx="8">
                  <c:v>13062</c:v>
                </c:pt>
                <c:pt idx="9">
                  <c:v>13769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E-48E5-B57B-2181171A6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472632"/>
        <c:axId val="365473808"/>
      </c:barChart>
      <c:catAx>
        <c:axId val="3654726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65473808"/>
        <c:crosses val="autoZero"/>
        <c:auto val="1"/>
        <c:lblAlgn val="ctr"/>
        <c:lblOffset val="100"/>
        <c:noMultiLvlLbl val="0"/>
      </c:catAx>
      <c:valAx>
        <c:axId val="3654738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65472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Prognoza</a:t>
            </a:r>
            <a:r>
              <a:rPr lang="pl-PL" baseline="0"/>
              <a:t> liczby mieszkańców</a:t>
            </a:r>
            <a:endParaRPr lang="pl-PL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Charakterystyka!$Z$7</c:f>
              <c:strCache>
                <c:ptCount val="1"/>
                <c:pt idx="0">
                  <c:v>Prognoza liczby mieszkańców</c:v>
                </c:pt>
              </c:strCache>
            </c:strRef>
          </c:tx>
          <c:spPr>
            <a:ln w="31750" cmpd="sng">
              <a:solidFill>
                <a:schemeClr val="accent1"/>
              </a:solidFill>
              <a:prstDash val="sysDash"/>
              <a:tailEnd type="none"/>
            </a:ln>
            <a:effectLst/>
          </c:spPr>
          <c:marker>
            <c:symbol val="none"/>
          </c:marker>
          <c:cat>
            <c:numRef>
              <c:f>Charakterystyka!$C$5:$W$5</c:f>
              <c:numCache>
                <c:formatCode>0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(Charakterystyka!$C$10:$S$10,Charakterystyka!$T$9,Charakterystyka!$AB$9:$AD$9)</c:f>
              <c:numCache>
                <c:formatCode>General</c:formatCode>
                <c:ptCount val="21"/>
                <c:pt idx="17">
                  <c:v>44303</c:v>
                </c:pt>
                <c:pt idx="18" formatCode="#,##0">
                  <c:v>43925</c:v>
                </c:pt>
                <c:pt idx="19" formatCode="#,##0">
                  <c:v>43761</c:v>
                </c:pt>
                <c:pt idx="20" formatCode="#,##0">
                  <c:v>43598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FE8-40D5-AD85-0E978EE36288}"/>
            </c:ext>
          </c:extLst>
        </c:ser>
        <c:ser>
          <c:idx val="0"/>
          <c:order val="1"/>
          <c:tx>
            <c:strRef>
              <c:f>Charakterystyka!$B$7</c:f>
              <c:strCache>
                <c:ptCount val="1"/>
                <c:pt idx="0">
                  <c:v>Liczba mieszkańców</c:v>
                </c:pt>
              </c:strCache>
            </c:strRef>
          </c:tx>
          <c:spPr>
            <a:ln w="31750" cap="rnd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Charakterystyka!$C$5:$W$5</c:f>
              <c:numCache>
                <c:formatCode>0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Charakterystyka!$C$9:$T$9</c:f>
              <c:numCache>
                <c:formatCode>#,##0</c:formatCode>
                <c:ptCount val="18"/>
                <c:pt idx="0">
                  <c:v>46564</c:v>
                </c:pt>
                <c:pt idx="1">
                  <c:v>46403</c:v>
                </c:pt>
                <c:pt idx="2">
                  <c:v>46481</c:v>
                </c:pt>
                <c:pt idx="3">
                  <c:v>46525</c:v>
                </c:pt>
                <c:pt idx="4">
                  <c:v>46274</c:v>
                </c:pt>
                <c:pt idx="5">
                  <c:v>45947</c:v>
                </c:pt>
                <c:pt idx="6">
                  <c:v>45711</c:v>
                </c:pt>
                <c:pt idx="7">
                  <c:v>45475</c:v>
                </c:pt>
                <c:pt idx="8">
                  <c:v>45473</c:v>
                </c:pt>
                <c:pt idx="9">
                  <c:v>45270</c:v>
                </c:pt>
                <c:pt idx="10">
                  <c:v>45548</c:v>
                </c:pt>
                <c:pt idx="11">
                  <c:v>45275</c:v>
                </c:pt>
                <c:pt idx="12">
                  <c:v>44974</c:v>
                </c:pt>
                <c:pt idx="13">
                  <c:v>44797</c:v>
                </c:pt>
                <c:pt idx="14">
                  <c:v>44585</c:v>
                </c:pt>
                <c:pt idx="15">
                  <c:v>44506</c:v>
                </c:pt>
                <c:pt idx="16" formatCode="General">
                  <c:v>44383</c:v>
                </c:pt>
                <c:pt idx="17" formatCode="General">
                  <c:v>44303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FE8-40D5-AD85-0E978EE36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474200"/>
        <c:axId val="365476160"/>
      </c:lineChart>
      <c:catAx>
        <c:axId val="36547420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65476160"/>
        <c:crosses val="autoZero"/>
        <c:auto val="1"/>
        <c:lblAlgn val="ctr"/>
        <c:lblOffset val="100"/>
        <c:tickLblSkip val="2"/>
        <c:noMultiLvlLbl val="0"/>
      </c:catAx>
      <c:valAx>
        <c:axId val="36547616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5474200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Liczba </a:t>
            </a:r>
            <a:r>
              <a:rPr lang="pl-PL"/>
              <a:t>mieszkań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Charakterystyka!$B$26</c:f>
              <c:strCache>
                <c:ptCount val="1"/>
                <c:pt idx="0">
                  <c:v>Liczba mieszkań</c:v>
                </c:pt>
              </c:strCache>
            </c:strRef>
          </c:tx>
          <c:spPr>
            <a:ln>
              <a:solidFill>
                <a:prstClr val="black"/>
              </a:solidFill>
            </a:ln>
          </c:spPr>
          <c:invertIfNegative val="0"/>
          <c:cat>
            <c:numRef>
              <c:f>Charakterystyka!$C$27:$T$27</c:f>
              <c:numCache>
                <c:formatCode>0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Charakterystyka!$C$28:$T$28</c:f>
              <c:numCache>
                <c:formatCode>#,##0</c:formatCode>
                <c:ptCount val="18"/>
                <c:pt idx="0">
                  <c:v>14296</c:v>
                </c:pt>
                <c:pt idx="1">
                  <c:v>14450</c:v>
                </c:pt>
                <c:pt idx="2">
                  <c:v>15137</c:v>
                </c:pt>
                <c:pt idx="3">
                  <c:v>15318</c:v>
                </c:pt>
                <c:pt idx="4">
                  <c:v>15444</c:v>
                </c:pt>
                <c:pt idx="5">
                  <c:v>15521</c:v>
                </c:pt>
                <c:pt idx="6">
                  <c:v>15632</c:v>
                </c:pt>
                <c:pt idx="7">
                  <c:v>15697</c:v>
                </c:pt>
                <c:pt idx="8">
                  <c:v>15828</c:v>
                </c:pt>
                <c:pt idx="9">
                  <c:v>15922</c:v>
                </c:pt>
                <c:pt idx="10">
                  <c:v>16325</c:v>
                </c:pt>
                <c:pt idx="11">
                  <c:v>16386</c:v>
                </c:pt>
                <c:pt idx="12">
                  <c:v>16414</c:v>
                </c:pt>
                <c:pt idx="13">
                  <c:v>16542</c:v>
                </c:pt>
                <c:pt idx="14">
                  <c:v>16747</c:v>
                </c:pt>
                <c:pt idx="15" formatCode="General">
                  <c:v>16948</c:v>
                </c:pt>
                <c:pt idx="16" formatCode="General">
                  <c:v>17000</c:v>
                </c:pt>
                <c:pt idx="17" formatCode="General">
                  <c:v>17218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1B-448B-9383-DBCEAF039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471064"/>
        <c:axId val="365473024"/>
      </c:barChart>
      <c:catAx>
        <c:axId val="36547106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65473024"/>
        <c:crosses val="autoZero"/>
        <c:auto val="1"/>
        <c:lblAlgn val="ctr"/>
        <c:lblOffset val="100"/>
        <c:noMultiLvlLbl val="0"/>
      </c:catAx>
      <c:valAx>
        <c:axId val="3654730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65471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Prognoza</a:t>
            </a:r>
            <a:r>
              <a:rPr lang="pl-PL" baseline="0"/>
              <a:t> liczby mieszkań</a:t>
            </a:r>
            <a:endParaRPr lang="pl-PL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Charakterystyka!$Z$26</c:f>
              <c:strCache>
                <c:ptCount val="1"/>
                <c:pt idx="0">
                  <c:v>Prognoza liczby mieszkań</c:v>
                </c:pt>
              </c:strCache>
            </c:strRef>
          </c:tx>
          <c:spPr>
            <a:ln w="31750" cmpd="sng">
              <a:solidFill>
                <a:schemeClr val="accent5"/>
              </a:solidFill>
              <a:prstDash val="sysDash"/>
              <a:tailEnd type="none"/>
            </a:ln>
            <a:effectLst/>
          </c:spPr>
          <c:marker>
            <c:symbol val="none"/>
          </c:marker>
          <c:cat>
            <c:numRef>
              <c:f>Charakterystyka!$C$5:$Z$5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(Charakterystyka!$C$29:$S$29,Charakterystyka!$T$28,Charakterystyka!$AB$28:$AG$28)</c:f>
              <c:numCache>
                <c:formatCode>General</c:formatCode>
                <c:ptCount val="24"/>
                <c:pt idx="17">
                  <c:v>17218</c:v>
                </c:pt>
                <c:pt idx="18" formatCode="#,##0">
                  <c:v>17231.800000000003</c:v>
                </c:pt>
                <c:pt idx="19" formatCode="#,##0">
                  <c:v>17353.000000000004</c:v>
                </c:pt>
                <c:pt idx="20" formatCode="#,##0">
                  <c:v>17474.200000000004</c:v>
                </c:pt>
                <c:pt idx="21" formatCode="#,##0">
                  <c:v>17595</c:v>
                </c:pt>
                <c:pt idx="22" formatCode="#,##0">
                  <c:v>17716</c:v>
                </c:pt>
                <c:pt idx="23" formatCode="#,##0">
                  <c:v>17837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919-4D21-B02A-6757C5450F36}"/>
            </c:ext>
          </c:extLst>
        </c:ser>
        <c:ser>
          <c:idx val="0"/>
          <c:order val="1"/>
          <c:tx>
            <c:strRef>
              <c:f>Charakterystyka!$B$26</c:f>
              <c:strCache>
                <c:ptCount val="1"/>
                <c:pt idx="0">
                  <c:v>Liczba mieszkań</c:v>
                </c:pt>
              </c:strCache>
            </c:strRef>
          </c:tx>
          <c:spPr>
            <a:ln w="31750" cap="rnd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Charakterystyka!$C$5:$Z$5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Charakterystyka!$C$28:$T$28</c:f>
              <c:numCache>
                <c:formatCode>#,##0</c:formatCode>
                <c:ptCount val="18"/>
                <c:pt idx="0">
                  <c:v>14296</c:v>
                </c:pt>
                <c:pt idx="1">
                  <c:v>14450</c:v>
                </c:pt>
                <c:pt idx="2">
                  <c:v>15137</c:v>
                </c:pt>
                <c:pt idx="3">
                  <c:v>15318</c:v>
                </c:pt>
                <c:pt idx="4">
                  <c:v>15444</c:v>
                </c:pt>
                <c:pt idx="5">
                  <c:v>15521</c:v>
                </c:pt>
                <c:pt idx="6">
                  <c:v>15632</c:v>
                </c:pt>
                <c:pt idx="7">
                  <c:v>15697</c:v>
                </c:pt>
                <c:pt idx="8">
                  <c:v>15828</c:v>
                </c:pt>
                <c:pt idx="9">
                  <c:v>15922</c:v>
                </c:pt>
                <c:pt idx="10">
                  <c:v>16325</c:v>
                </c:pt>
                <c:pt idx="11">
                  <c:v>16386</c:v>
                </c:pt>
                <c:pt idx="12">
                  <c:v>16414</c:v>
                </c:pt>
                <c:pt idx="13">
                  <c:v>16542</c:v>
                </c:pt>
                <c:pt idx="14">
                  <c:v>16747</c:v>
                </c:pt>
                <c:pt idx="15" formatCode="General">
                  <c:v>16948</c:v>
                </c:pt>
                <c:pt idx="16" formatCode="General">
                  <c:v>17000</c:v>
                </c:pt>
                <c:pt idx="17" formatCode="General">
                  <c:v>17218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919-4D21-B02A-6757C5450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470672"/>
        <c:axId val="365471456"/>
      </c:lineChart>
      <c:catAx>
        <c:axId val="36547067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65471456"/>
        <c:crosses val="autoZero"/>
        <c:auto val="1"/>
        <c:lblAlgn val="ctr"/>
        <c:lblOffset val="100"/>
        <c:tickLblSkip val="2"/>
        <c:noMultiLvlLbl val="0"/>
      </c:catAx>
      <c:valAx>
        <c:axId val="3654714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5470672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4" Type="http://schemas.openxmlformats.org/officeDocument/2006/relationships/chart" Target="../charts/chart3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4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9</xdr:row>
      <xdr:rowOff>85725</xdr:rowOff>
    </xdr:from>
    <xdr:to>
      <xdr:col>12</xdr:col>
      <xdr:colOff>470057</xdr:colOff>
      <xdr:row>24</xdr:row>
      <xdr:rowOff>225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12</xdr:col>
      <xdr:colOff>479583</xdr:colOff>
      <xdr:row>63</xdr:row>
      <xdr:rowOff>105000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12</xdr:col>
      <xdr:colOff>479583</xdr:colOff>
      <xdr:row>82</xdr:row>
      <xdr:rowOff>105000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86</xdr:row>
      <xdr:rowOff>114300</xdr:rowOff>
    </xdr:from>
    <xdr:to>
      <xdr:col>12</xdr:col>
      <xdr:colOff>479583</xdr:colOff>
      <xdr:row>101</xdr:row>
      <xdr:rowOff>28800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106</xdr:row>
      <xdr:rowOff>0</xdr:rowOff>
    </xdr:from>
    <xdr:to>
      <xdr:col>12</xdr:col>
      <xdr:colOff>479583</xdr:colOff>
      <xdr:row>120</xdr:row>
      <xdr:rowOff>105000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125</xdr:row>
      <xdr:rowOff>0</xdr:rowOff>
    </xdr:from>
    <xdr:to>
      <xdr:col>12</xdr:col>
      <xdr:colOff>479583</xdr:colOff>
      <xdr:row>139</xdr:row>
      <xdr:rowOff>105000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579782</xdr:colOff>
      <xdr:row>9</xdr:row>
      <xdr:rowOff>110435</xdr:rowOff>
    </xdr:from>
    <xdr:to>
      <xdr:col>29</xdr:col>
      <xdr:colOff>625596</xdr:colOff>
      <xdr:row>24</xdr:row>
      <xdr:rowOff>14284</xdr:rowOff>
    </xdr:to>
    <xdr:graphicFrame macro="">
      <xdr:nvGraphicFramePr>
        <xdr:cNvPr id="15" name="Wykres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12</xdr:col>
      <xdr:colOff>479583</xdr:colOff>
      <xdr:row>43</xdr:row>
      <xdr:rowOff>105000</xdr:rowOff>
    </xdr:to>
    <xdr:graphicFrame macro="">
      <xdr:nvGraphicFramePr>
        <xdr:cNvPr id="21" name="Wykres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565978</xdr:colOff>
      <xdr:row>29</xdr:row>
      <xdr:rowOff>0</xdr:rowOff>
    </xdr:from>
    <xdr:to>
      <xdr:col>29</xdr:col>
      <xdr:colOff>489486</xdr:colOff>
      <xdr:row>43</xdr:row>
      <xdr:rowOff>142872</xdr:rowOff>
    </xdr:to>
    <xdr:graphicFrame macro="">
      <xdr:nvGraphicFramePr>
        <xdr:cNvPr id="22" name="Wykres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358913</xdr:colOff>
      <xdr:row>67</xdr:row>
      <xdr:rowOff>151848</xdr:rowOff>
    </xdr:from>
    <xdr:to>
      <xdr:col>29</xdr:col>
      <xdr:colOff>320833</xdr:colOff>
      <xdr:row>82</xdr:row>
      <xdr:rowOff>105001</xdr:rowOff>
    </xdr:to>
    <xdr:graphicFrame macro="">
      <xdr:nvGraphicFramePr>
        <xdr:cNvPr id="23" name="Wykres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372717</xdr:colOff>
      <xdr:row>86</xdr:row>
      <xdr:rowOff>165651</xdr:rowOff>
    </xdr:from>
    <xdr:to>
      <xdr:col>29</xdr:col>
      <xdr:colOff>320833</xdr:colOff>
      <xdr:row>100</xdr:row>
      <xdr:rowOff>186642</xdr:rowOff>
    </xdr:to>
    <xdr:graphicFrame macro="">
      <xdr:nvGraphicFramePr>
        <xdr:cNvPr id="24" name="Wykres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386522</xdr:colOff>
      <xdr:row>105</xdr:row>
      <xdr:rowOff>138044</xdr:rowOff>
    </xdr:from>
    <xdr:to>
      <xdr:col>29</xdr:col>
      <xdr:colOff>320833</xdr:colOff>
      <xdr:row>120</xdr:row>
      <xdr:rowOff>105000</xdr:rowOff>
    </xdr:to>
    <xdr:graphicFrame macro="">
      <xdr:nvGraphicFramePr>
        <xdr:cNvPr id="25" name="Wykres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386522</xdr:colOff>
      <xdr:row>124</xdr:row>
      <xdr:rowOff>151848</xdr:rowOff>
    </xdr:from>
    <xdr:to>
      <xdr:col>29</xdr:col>
      <xdr:colOff>320833</xdr:colOff>
      <xdr:row>139</xdr:row>
      <xdr:rowOff>105000</xdr:rowOff>
    </xdr:to>
    <xdr:graphicFrame macro="">
      <xdr:nvGraphicFramePr>
        <xdr:cNvPr id="27" name="Wykres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</xdr:row>
      <xdr:rowOff>76199</xdr:rowOff>
    </xdr:from>
    <xdr:to>
      <xdr:col>6</xdr:col>
      <xdr:colOff>172725</xdr:colOff>
      <xdr:row>20</xdr:row>
      <xdr:rowOff>41699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57150</xdr:colOff>
      <xdr:row>3</xdr:row>
      <xdr:rowOff>66675</xdr:rowOff>
    </xdr:from>
    <xdr:to>
      <xdr:col>11</xdr:col>
      <xdr:colOff>1010925</xdr:colOff>
      <xdr:row>20</xdr:row>
      <xdr:rowOff>32175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161925</xdr:colOff>
      <xdr:row>20</xdr:row>
      <xdr:rowOff>133349</xdr:rowOff>
    </xdr:from>
    <xdr:to>
      <xdr:col>6</xdr:col>
      <xdr:colOff>172725</xdr:colOff>
      <xdr:row>37</xdr:row>
      <xdr:rowOff>134849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66675</xdr:colOff>
      <xdr:row>20</xdr:row>
      <xdr:rowOff>161925</xdr:rowOff>
    </xdr:from>
    <xdr:to>
      <xdr:col>11</xdr:col>
      <xdr:colOff>1020450</xdr:colOff>
      <xdr:row>37</xdr:row>
      <xdr:rowOff>142875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12</xdr:row>
      <xdr:rowOff>142875</xdr:rowOff>
    </xdr:from>
    <xdr:to>
      <xdr:col>4</xdr:col>
      <xdr:colOff>1057276</xdr:colOff>
      <xdr:row>25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171450</xdr:colOff>
      <xdr:row>12</xdr:row>
      <xdr:rowOff>152401</xdr:rowOff>
    </xdr:from>
    <xdr:to>
      <xdr:col>10</xdr:col>
      <xdr:colOff>1057275</xdr:colOff>
      <xdr:row>25</xdr:row>
      <xdr:rowOff>104776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180974</xdr:colOff>
      <xdr:row>26</xdr:row>
      <xdr:rowOff>110671</xdr:rowOff>
    </xdr:from>
    <xdr:to>
      <xdr:col>10</xdr:col>
      <xdr:colOff>1038225</xdr:colOff>
      <xdr:row>39</xdr:row>
      <xdr:rowOff>180974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180975</xdr:colOff>
      <xdr:row>40</xdr:row>
      <xdr:rowOff>38099</xdr:rowOff>
    </xdr:from>
    <xdr:to>
      <xdr:col>10</xdr:col>
      <xdr:colOff>1047750</xdr:colOff>
      <xdr:row>54</xdr:row>
      <xdr:rowOff>114300</xdr:rowOff>
    </xdr:to>
    <xdr:graphicFrame macro="">
      <xdr:nvGraphicFramePr>
        <xdr:cNvPr id="10" name="Wykres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0</xdr:row>
      <xdr:rowOff>157162</xdr:rowOff>
    </xdr:from>
    <xdr:to>
      <xdr:col>15</xdr:col>
      <xdr:colOff>657225</xdr:colOff>
      <xdr:row>16</xdr:row>
      <xdr:rowOff>4762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</xdr:row>
      <xdr:rowOff>147637</xdr:rowOff>
    </xdr:from>
    <xdr:to>
      <xdr:col>14</xdr:col>
      <xdr:colOff>542925</xdr:colOff>
      <xdr:row>17</xdr:row>
      <xdr:rowOff>176212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</xdr:colOff>
      <xdr:row>4</xdr:row>
      <xdr:rowOff>0</xdr:rowOff>
    </xdr:from>
    <xdr:to>
      <xdr:col>11</xdr:col>
      <xdr:colOff>1181101</xdr:colOff>
      <xdr:row>15</xdr:row>
      <xdr:rowOff>180974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219702" y="885825"/>
          <a:ext cx="3895724" cy="3181349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Metodologia prognozy:</a:t>
          </a:r>
        </a:p>
        <a:p>
          <a:endParaRPr lang="pl-PL" sz="1100" u="sng"/>
        </a:p>
        <a:p>
          <a:pPr algn="l"/>
          <a:r>
            <a:rPr lang="pl-PL" sz="1100" b="0"/>
            <a:t>Prognoza</a:t>
          </a:r>
          <a:r>
            <a:rPr lang="pl-PL" sz="1100" b="0" baseline="0"/>
            <a:t> zużycia energii  została przeprowadzona w oparciu o </a:t>
          </a:r>
          <a:r>
            <a:rPr lang="pl-PL" sz="1100" b="1"/>
            <a:t>Politykę energetyczną Polski do 2030 roku </a:t>
          </a:r>
          <a:r>
            <a:rPr lang="pl-PL" sz="1100" b="0"/>
            <a:t>stanowiącą załącznik do uchwały nr 202/2009  Rady Ministrów z dnia 10 listopada 2009 r. W</a:t>
          </a:r>
          <a:r>
            <a:rPr lang="pl-PL" sz="1100" b="0" baseline="0"/>
            <a:t> dokumencie tym oszacowano średnioroczny wzrost zapotrzenowania na  energię</a:t>
          </a:r>
          <a:r>
            <a:rPr lang="pl-PL" sz="1100" baseline="0"/>
            <a:t> elektryczną  jako 2,68% rocznie. </a:t>
          </a:r>
        </a:p>
        <a:p>
          <a:endParaRPr lang="pl-PL" sz="900" i="1" baseline="0"/>
        </a:p>
        <a:p>
          <a:r>
            <a:rPr lang="pl-PL" sz="900" i="1" baseline="0"/>
            <a:t>Źródła:</a:t>
          </a:r>
        </a:p>
        <a:p>
          <a:r>
            <a:rPr lang="pl-PL" sz="900" i="1" baseline="0"/>
            <a:t>1. Jak osiągnąć bezpieczeństwo energetyczne UE racjonalizując wysokość nakładów inwestycyjnych, kosztów społecznych i środowiskowych?, Prof. Władysław Mielczarski - Politechnika Łódzka, European Energy Institute, Centrum Informacji o Rynku Energii. </a:t>
          </a:r>
        </a:p>
        <a:p>
          <a:endParaRPr lang="pl-PL" sz="900" i="1" baseline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6</xdr:col>
      <xdr:colOff>201300</xdr:colOff>
      <xdr:row>20</xdr:row>
      <xdr:rowOff>1500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3</xdr:row>
      <xdr:rowOff>0</xdr:rowOff>
    </xdr:from>
    <xdr:to>
      <xdr:col>11</xdr:col>
      <xdr:colOff>1001400</xdr:colOff>
      <xdr:row>20</xdr:row>
      <xdr:rowOff>1500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20</xdr:row>
      <xdr:rowOff>76200</xdr:rowOff>
    </xdr:from>
    <xdr:to>
      <xdr:col>6</xdr:col>
      <xdr:colOff>190500</xdr:colOff>
      <xdr:row>37</xdr:row>
      <xdr:rowOff>77700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2</xdr:row>
      <xdr:rowOff>85725</xdr:rowOff>
    </xdr:from>
    <xdr:to>
      <xdr:col>12</xdr:col>
      <xdr:colOff>1304924</xdr:colOff>
      <xdr:row>14</xdr:row>
      <xdr:rowOff>57150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7543800" y="523875"/>
          <a:ext cx="3895724" cy="2676525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Metodologia prognozy:</a:t>
          </a:r>
        </a:p>
        <a:p>
          <a:endParaRPr lang="pl-PL" sz="1100" u="sng"/>
        </a:p>
        <a:p>
          <a:pPr algn="l"/>
          <a:r>
            <a:rPr lang="pl-PL" sz="1100" b="0"/>
            <a:t>Prognoza</a:t>
          </a:r>
          <a:r>
            <a:rPr lang="pl-PL" sz="1100" b="0" baseline="0"/>
            <a:t> zużycia gazu została przeprowadzona w oparciu o </a:t>
          </a:r>
          <a:r>
            <a:rPr lang="pl-PL" sz="1100" b="1"/>
            <a:t>Politykę energetyczną Polski do 2030 roku </a:t>
          </a:r>
          <a:r>
            <a:rPr lang="pl-PL" sz="1100" b="0"/>
            <a:t>stanowiącą załącznik do uchwały nr 202/2009  Rady Ministrów z dnia 10 listopada 2009 r. </a:t>
          </a:r>
          <a:r>
            <a:rPr lang="pl-PL" sz="1100" b="0" baseline="0"/>
            <a:t>W</a:t>
          </a:r>
          <a:r>
            <a:rPr lang="pl-PL" sz="1100" b="0"/>
            <a:t> części opracowania zatytułowanej</a:t>
          </a:r>
          <a:r>
            <a:rPr lang="pl-PL" sz="1100" b="0" baseline="0"/>
            <a:t> </a:t>
          </a:r>
          <a:r>
            <a:rPr lang="pl-PL" sz="1100" b="1" baseline="0"/>
            <a:t>Prognoza zapotrzebowania na paliwa i energię do roku 2030 </a:t>
          </a:r>
          <a:r>
            <a:rPr lang="pl-PL" sz="1100" b="0" baseline="0"/>
            <a:t>oszacowano średnioroczny wzrost zapotrzebnowania na  paliwa gazowe w latach 2010-2020 na 1</a:t>
          </a:r>
          <a:r>
            <a:rPr lang="pl-PL" sz="1100" baseline="0"/>
            <a:t>,57% rocznie. </a:t>
          </a:r>
        </a:p>
        <a:p>
          <a:endParaRPr lang="pl-PL" sz="900" i="1" baseline="0"/>
        </a:p>
        <a:p>
          <a:r>
            <a:rPr lang="pl-PL" sz="900" i="1" baseline="0"/>
            <a:t>Źródła:</a:t>
          </a:r>
        </a:p>
        <a:p>
          <a:endParaRPr lang="pl-PL" sz="900" i="1" baseline="0"/>
        </a:p>
        <a:p>
          <a:r>
            <a:rPr lang="pl-PL" sz="900" i="1" baseline="0"/>
            <a:t>1. Prognoza zapotrzebowania na paliwa i energię do 2030 roku, załącznik 2 do „Polityki energetycznej Polski do 2030 roku”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7</xdr:col>
      <xdr:colOff>6038</xdr:colOff>
      <xdr:row>20</xdr:row>
      <xdr:rowOff>1500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76200</xdr:rowOff>
    </xdr:from>
    <xdr:to>
      <xdr:col>6</xdr:col>
      <xdr:colOff>185738</xdr:colOff>
      <xdr:row>37</xdr:row>
      <xdr:rowOff>95250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2</xdr:row>
      <xdr:rowOff>180975</xdr:rowOff>
    </xdr:from>
    <xdr:to>
      <xdr:col>11</xdr:col>
      <xdr:colOff>968063</xdr:colOff>
      <xdr:row>19</xdr:row>
      <xdr:rowOff>182475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268941</xdr:colOff>
      <xdr:row>3</xdr:row>
      <xdr:rowOff>2</xdr:rowOff>
    </xdr:from>
    <xdr:to>
      <xdr:col>15</xdr:col>
      <xdr:colOff>698500</xdr:colOff>
      <xdr:row>13</xdr:row>
      <xdr:rowOff>622300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2016441" y="660402"/>
          <a:ext cx="3020359" cy="3200398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u="sng" baseline="0"/>
            <a:t>Metodologia prognozy:</a:t>
          </a:r>
        </a:p>
        <a:p>
          <a:endParaRPr lang="pl-PL" sz="1100" u="sng"/>
        </a:p>
        <a:p>
          <a:pPr algn="l"/>
          <a:r>
            <a:rPr lang="pl-PL" sz="1100" b="0"/>
            <a:t>Prognoza</a:t>
          </a:r>
          <a:r>
            <a:rPr lang="pl-PL" sz="1100" b="0" baseline="0"/>
            <a:t> natężenia ruchu na drogach tranzytowych została przeprowadzona w oparciu o </a:t>
          </a:r>
          <a:r>
            <a:rPr lang="pl-PL" sz="11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z</a:t>
          </a:r>
          <a:r>
            <a:rPr lang="pl-PL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asady prognozowania wskaźników wzrostu ruchu wewnętrznego na okres 2008-2040 na sieci drogowej do celów planistyczno-projektowych, </a:t>
          </a:r>
          <a:r>
            <a:rPr lang="pl-PL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stanowiący załącznik numer 2 do opracowania pn. </a:t>
          </a:r>
          <a:r>
            <a:rPr lang="pl-PL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Stadia i skład dokumentacji projektowej dla dróg i mostów w fazie przygotowania zadań.</a:t>
          </a:r>
          <a:r>
            <a:rPr lang="pl-PL" sz="1100" b="0"/>
            <a:t> </a:t>
          </a:r>
        </a:p>
        <a:p>
          <a:pPr algn="l"/>
          <a:endParaRPr lang="pl-PL" sz="900" i="1" baseline="0"/>
        </a:p>
        <a:p>
          <a:r>
            <a:rPr lang="pl-PL" sz="900" i="1" baseline="0"/>
            <a:t>Źródła:</a:t>
          </a:r>
        </a:p>
        <a:p>
          <a:r>
            <a:rPr lang="pl-PL" sz="900" i="1" baseline="0"/>
            <a:t>1. Generalny Pomiar Ruchu 2010 r.,</a:t>
          </a:r>
        </a:p>
        <a:p>
          <a:r>
            <a:rPr lang="pl-PL" sz="900" i="1" baseline="0"/>
            <a:t>2. </a:t>
          </a:r>
          <a:r>
            <a:rPr lang="pl-PL" sz="9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Z</a:t>
          </a:r>
          <a:r>
            <a:rPr lang="pl-PL" sz="900" b="0" i="1">
              <a:solidFill>
                <a:schemeClr val="dk1"/>
              </a:solidFill>
              <a:latin typeface="+mn-lt"/>
              <a:ea typeface="+mn-ea"/>
              <a:cs typeface="+mn-cs"/>
            </a:rPr>
            <a:t>asady prognozowania wskaźników wzrostu ruchu wewnętrznego na okres 2008-2040 na sieci drogowej do celów planistyczno-projektowych,</a:t>
          </a:r>
        </a:p>
        <a:p>
          <a:r>
            <a:rPr lang="pl-PL" sz="9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3. Analiza prognozy wzrostu PKB do 2040 roku dla potrzeb prognozy wzrostu ruchu,</a:t>
          </a:r>
          <a:endParaRPr lang="pl-PL" sz="900" b="0" i="1" baseline="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59532</xdr:colOff>
      <xdr:row>4</xdr:row>
      <xdr:rowOff>35718</xdr:rowOff>
    </xdr:from>
    <xdr:to>
      <xdr:col>6</xdr:col>
      <xdr:colOff>166687</xdr:colOff>
      <xdr:row>21</xdr:row>
      <xdr:rowOff>47625</xdr:rowOff>
    </xdr:to>
    <xdr:graphicFrame macro="">
      <xdr:nvGraphicFramePr>
        <xdr:cNvPr id="15" name="Wykres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35718</xdr:colOff>
      <xdr:row>39</xdr:row>
      <xdr:rowOff>166688</xdr:rowOff>
    </xdr:from>
    <xdr:to>
      <xdr:col>7</xdr:col>
      <xdr:colOff>23811</xdr:colOff>
      <xdr:row>57</xdr:row>
      <xdr:rowOff>11906</xdr:rowOff>
    </xdr:to>
    <xdr:graphicFrame macro="">
      <xdr:nvGraphicFramePr>
        <xdr:cNvPr id="16" name="Wykres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59533</xdr:colOff>
      <xdr:row>21</xdr:row>
      <xdr:rowOff>154784</xdr:rowOff>
    </xdr:from>
    <xdr:to>
      <xdr:col>6</xdr:col>
      <xdr:colOff>154781</xdr:colOff>
      <xdr:row>37</xdr:row>
      <xdr:rowOff>107158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178594</xdr:colOff>
      <xdr:row>39</xdr:row>
      <xdr:rowOff>166687</xdr:rowOff>
    </xdr:from>
    <xdr:to>
      <xdr:col>11</xdr:col>
      <xdr:colOff>714375</xdr:colOff>
      <xdr:row>57</xdr:row>
      <xdr:rowOff>23813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108238</xdr:colOff>
      <xdr:row>4</xdr:row>
      <xdr:rowOff>64942</xdr:rowOff>
    </xdr:from>
    <xdr:to>
      <xdr:col>11</xdr:col>
      <xdr:colOff>822614</xdr:colOff>
      <xdr:row>21</xdr:row>
      <xdr:rowOff>41131</xdr:rowOff>
    </xdr:to>
    <xdr:graphicFrame macro="">
      <xdr:nvGraphicFramePr>
        <xdr:cNvPr id="10" name="Wykres 9">
          <a:extLst>
            <a:ext uri="{FF2B5EF4-FFF2-40B4-BE49-F238E27FC236}">
              <a16:creationId xmlns:a16="http://schemas.microsoft.com/office/drawing/2014/main" id="{E71DEC84-5A12-4433-956B-2BCC8E622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pki\Zalacznik_nr_I_Inwentaryzacja_Gmina_Repk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nieszka/Desktop/Plany%20inne/Plany%20zrobione/K&#322;obuck/K&#322;obuck%20gotowe/Nowy%20folder/Inwentaryzacja%20gmina%20K&#322;obuck%20-%20za&#322;&#261;cznik%20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Wskaźniki"/>
      <sheetName val="Charakterystyka"/>
      <sheetName val="En. elektryczna"/>
      <sheetName val="En. elektryczna wykr."/>
      <sheetName val="Gaz"/>
      <sheetName val="Gaz wykr."/>
      <sheetName val="Ruch lokalny"/>
      <sheetName val="Transport wykr."/>
      <sheetName val="Tranzyt"/>
      <sheetName val="Ciepło"/>
      <sheetName val="Ciepło wykr."/>
      <sheetName val="Oświetlenie"/>
      <sheetName val="Obiekty publiczne"/>
      <sheetName val="Ankietyzacja mieszkańcy"/>
      <sheetName val="Bilans"/>
    </sheetNames>
    <sheetDataSet>
      <sheetData sheetId="0" refreshError="1"/>
      <sheetData sheetId="1" refreshError="1"/>
      <sheetData sheetId="2">
        <row r="9">
          <cell r="O9">
            <v>5675</v>
          </cell>
          <cell r="AD9">
            <v>5369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Wskaźniki"/>
      <sheetName val="Charakterystyka"/>
      <sheetName val="En. elektryczna"/>
      <sheetName val="En. elektryczna wykr."/>
      <sheetName val="Gaz"/>
      <sheetName val="Gaz wykr."/>
      <sheetName val="Ruch lokalny"/>
      <sheetName val="Tranzyt"/>
      <sheetName val="Transport wykr."/>
      <sheetName val="Ciepło"/>
      <sheetName val="Ciepło wykr."/>
      <sheetName val="Oświetlenie"/>
      <sheetName val="2"/>
      <sheetName val="Obiekty publiczne"/>
      <sheetName val="mieszkańcy - ankiety"/>
      <sheetName val="Bil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2">
          <cell r="E62" t="str">
            <v>Benzyna</v>
          </cell>
        </row>
        <row r="63">
          <cell r="E63" t="str">
            <v>Diesel</v>
          </cell>
        </row>
        <row r="64">
          <cell r="E64" t="str">
            <v>LPG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CDE">
  <a:themeElements>
    <a:clrScheme name="CDE">
      <a:dk1>
        <a:sysClr val="windowText" lastClr="000000"/>
      </a:dk1>
      <a:lt1>
        <a:sysClr val="window" lastClr="FFFFFF"/>
      </a:lt1>
      <a:dk2>
        <a:srgbClr val="787878"/>
      </a:dk2>
      <a:lt2>
        <a:srgbClr val="F2F2F2"/>
      </a:lt2>
      <a:accent1>
        <a:srgbClr val="709AD1"/>
      </a:accent1>
      <a:accent2>
        <a:srgbClr val="81C210"/>
      </a:accent2>
      <a:accent3>
        <a:srgbClr val="9BBB59"/>
      </a:accent3>
      <a:accent4>
        <a:srgbClr val="50A000"/>
      </a:accent4>
      <a:accent5>
        <a:srgbClr val="FF7E00"/>
      </a:accent5>
      <a:accent6>
        <a:srgbClr val="9FD3EC"/>
      </a:accent6>
      <a:hlink>
        <a:srgbClr val="EB640F"/>
      </a:hlink>
      <a:folHlink>
        <a:srgbClr val="F7AE81"/>
      </a:folHlink>
    </a:clrScheme>
    <a:fontScheme name="CDE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Hol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55000" cap="flat" cmpd="thickThin" algn="ctr">
          <a:solidFill>
            <a:schemeClr val="phClr"/>
          </a:solidFill>
          <a:prstDash val="solid"/>
        </a:ln>
        <a:ln w="63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3"/>
  <sheetViews>
    <sheetView view="pageBreakPreview" zoomScale="106" zoomScaleNormal="100" zoomScaleSheetLayoutView="106" workbookViewId="0">
      <selection activeCell="E8" sqref="E8"/>
    </sheetView>
  </sheetViews>
  <sheetFormatPr defaultRowHeight="15"/>
  <cols>
    <col min="1" max="1" width="2.5" style="13" customWidth="1"/>
    <col min="2" max="2" width="30.625" style="13" customWidth="1"/>
    <col min="3" max="3" width="72.5" style="151" customWidth="1"/>
    <col min="4" max="16384" width="9" style="13"/>
  </cols>
  <sheetData>
    <row r="1" spans="2:3" ht="15" customHeight="1" thickBot="1"/>
    <row r="2" spans="2:3" ht="21.75" thickBot="1">
      <c r="B2" s="86" t="s">
        <v>0</v>
      </c>
      <c r="C2" s="152"/>
    </row>
    <row r="3" spans="2:3" ht="15.75" thickBot="1">
      <c r="B3" s="14"/>
      <c r="C3" s="153"/>
    </row>
    <row r="4" spans="2:3">
      <c r="B4" s="1" t="s">
        <v>1</v>
      </c>
      <c r="C4" s="154" t="s">
        <v>145</v>
      </c>
    </row>
    <row r="5" spans="2:3" ht="30.75" thickBot="1">
      <c r="B5" s="2" t="s">
        <v>2</v>
      </c>
      <c r="C5" s="3" t="s">
        <v>215</v>
      </c>
    </row>
    <row r="6" spans="2:3" ht="15.75" thickBot="1"/>
    <row r="7" spans="2:3" ht="15.75" thickBot="1">
      <c r="B7" s="15" t="s">
        <v>3</v>
      </c>
    </row>
    <row r="8" spans="2:3">
      <c r="B8" s="16" t="s">
        <v>4</v>
      </c>
      <c r="C8" s="155" t="s">
        <v>5</v>
      </c>
    </row>
    <row r="9" spans="2:3">
      <c r="B9" s="4" t="s">
        <v>6</v>
      </c>
      <c r="C9" s="17" t="s">
        <v>14</v>
      </c>
    </row>
    <row r="10" spans="2:3" ht="33">
      <c r="B10" s="4" t="s">
        <v>113</v>
      </c>
      <c r="C10" s="17" t="s">
        <v>141</v>
      </c>
    </row>
    <row r="11" spans="2:3">
      <c r="B11" s="4" t="s">
        <v>81</v>
      </c>
      <c r="C11" s="325" t="s">
        <v>214</v>
      </c>
    </row>
    <row r="12" spans="2:3" ht="18">
      <c r="B12" s="4" t="s">
        <v>33</v>
      </c>
      <c r="C12" s="511" t="s">
        <v>277</v>
      </c>
    </row>
    <row r="13" spans="2:3" ht="33">
      <c r="B13" s="4" t="s">
        <v>32</v>
      </c>
      <c r="C13" s="512" t="s">
        <v>278</v>
      </c>
    </row>
    <row r="14" spans="2:3" ht="18">
      <c r="B14" s="5" t="s">
        <v>86</v>
      </c>
      <c r="C14" s="512" t="s">
        <v>279</v>
      </c>
    </row>
    <row r="15" spans="2:3" ht="33">
      <c r="B15" s="5" t="s">
        <v>87</v>
      </c>
      <c r="C15" s="512" t="s">
        <v>280</v>
      </c>
    </row>
    <row r="16" spans="2:3" ht="33">
      <c r="B16" s="5" t="s">
        <v>88</v>
      </c>
      <c r="C16" s="512" t="s">
        <v>281</v>
      </c>
    </row>
    <row r="17" spans="2:3" ht="33">
      <c r="B17" s="5" t="s">
        <v>55</v>
      </c>
      <c r="C17" s="512" t="s">
        <v>282</v>
      </c>
    </row>
    <row r="18" spans="2:3" ht="18">
      <c r="B18" s="5" t="s">
        <v>89</v>
      </c>
      <c r="C18" s="18" t="s">
        <v>8</v>
      </c>
    </row>
    <row r="19" spans="2:3" ht="33">
      <c r="B19" s="6" t="s">
        <v>11</v>
      </c>
      <c r="C19" s="513" t="s">
        <v>283</v>
      </c>
    </row>
    <row r="20" spans="2:3" ht="33">
      <c r="B20" s="6" t="s">
        <v>12</v>
      </c>
      <c r="C20" s="18" t="s">
        <v>142</v>
      </c>
    </row>
    <row r="21" spans="2:3" ht="18">
      <c r="B21" s="5" t="s">
        <v>10</v>
      </c>
      <c r="C21" s="18" t="s">
        <v>143</v>
      </c>
    </row>
    <row r="22" spans="2:3" ht="33">
      <c r="B22" s="5" t="s">
        <v>9</v>
      </c>
      <c r="C22" s="18" t="s">
        <v>144</v>
      </c>
    </row>
    <row r="23" spans="2:3" ht="33.75" thickBot="1">
      <c r="B23" s="7" t="s">
        <v>129</v>
      </c>
      <c r="C23" s="514" t="s">
        <v>284</v>
      </c>
    </row>
  </sheetData>
  <pageMargins left="0.7" right="0.7" top="0.75" bottom="0.75" header="0.3" footer="0.3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35"/>
  <sheetViews>
    <sheetView showGridLines="0" view="pageBreakPreview" topLeftCell="A75" zoomScale="70" zoomScaleNormal="70" zoomScaleSheetLayoutView="70" workbookViewId="0">
      <selection activeCell="L88" sqref="L88"/>
    </sheetView>
  </sheetViews>
  <sheetFormatPr defaultRowHeight="15"/>
  <cols>
    <col min="1" max="1" width="2.5" style="13" customWidth="1"/>
    <col min="2" max="2" width="14.5" style="13" customWidth="1"/>
    <col min="3" max="3" width="11.875" style="13" customWidth="1"/>
    <col min="4" max="4" width="13.5" style="13" bestFit="1" customWidth="1"/>
    <col min="5" max="6" width="15.625" style="13" customWidth="1"/>
    <col min="7" max="7" width="10.5" style="13" customWidth="1"/>
    <col min="8" max="8" width="15.25" style="13" customWidth="1"/>
    <col min="9" max="9" width="10.25" style="13" customWidth="1"/>
    <col min="10" max="10" width="12.75" style="13" customWidth="1"/>
    <col min="11" max="11" width="14.875" style="13" customWidth="1"/>
    <col min="12" max="12" width="15.375" style="13" customWidth="1"/>
    <col min="13" max="13" width="18" style="13" customWidth="1"/>
    <col min="14" max="14" width="14.375" style="13" customWidth="1"/>
    <col min="15" max="15" width="9" style="13" customWidth="1"/>
    <col min="16" max="16" width="11.625" style="13" customWidth="1"/>
    <col min="17" max="17" width="9" style="13" customWidth="1"/>
    <col min="18" max="20" width="11.625" style="13" customWidth="1"/>
    <col min="21" max="21" width="9" style="13" customWidth="1"/>
    <col min="22" max="16384" width="9" style="13"/>
  </cols>
  <sheetData>
    <row r="1" spans="2:18" s="20" customFormat="1" ht="15" customHeight="1" thickBot="1">
      <c r="M1" s="163"/>
      <c r="N1" s="163"/>
      <c r="O1" s="163"/>
      <c r="P1" s="163"/>
    </row>
    <row r="2" spans="2:18" s="20" customFormat="1" ht="19.5" thickBot="1">
      <c r="B2" s="21" t="s">
        <v>60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92"/>
      <c r="N2" s="292"/>
      <c r="O2" s="163"/>
      <c r="P2" s="163"/>
    </row>
    <row r="3" spans="2:18" s="20" customFormat="1" ht="15" customHeight="1" thickBot="1">
      <c r="B3" s="1034" t="s">
        <v>221</v>
      </c>
      <c r="C3" s="1035"/>
      <c r="D3" s="1035"/>
      <c r="E3" s="1035"/>
      <c r="F3" s="1036"/>
      <c r="G3" s="351"/>
      <c r="H3" s="351"/>
      <c r="I3" s="351"/>
      <c r="J3" s="351"/>
      <c r="K3" s="351"/>
      <c r="M3" s="292"/>
      <c r="N3" s="292"/>
      <c r="O3" s="163"/>
      <c r="P3" s="163"/>
    </row>
    <row r="4" spans="2:18" ht="15.75" customHeight="1">
      <c r="B4" s="353"/>
      <c r="C4" s="1037" t="s">
        <v>57</v>
      </c>
      <c r="D4" s="1038"/>
      <c r="E4" s="1041" t="s">
        <v>223</v>
      </c>
      <c r="F4" s="1043" t="s">
        <v>224</v>
      </c>
      <c r="G4" s="1041" t="s">
        <v>154</v>
      </c>
      <c r="H4" s="1041" t="s">
        <v>225</v>
      </c>
      <c r="I4" s="1043" t="s">
        <v>226</v>
      </c>
      <c r="J4" s="1045" t="s">
        <v>227</v>
      </c>
      <c r="K4" s="1032" t="s">
        <v>155</v>
      </c>
      <c r="L4" s="1023" t="s">
        <v>24</v>
      </c>
      <c r="M4" s="196"/>
      <c r="N4" s="292"/>
      <c r="O4" s="27"/>
      <c r="P4" s="27"/>
    </row>
    <row r="5" spans="2:18" ht="48" customHeight="1">
      <c r="B5" s="354"/>
      <c r="C5" s="1039"/>
      <c r="D5" s="1040"/>
      <c r="E5" s="1042"/>
      <c r="F5" s="1044"/>
      <c r="G5" s="1042"/>
      <c r="H5" s="1042"/>
      <c r="I5" s="1044"/>
      <c r="J5" s="1046"/>
      <c r="K5" s="1047"/>
      <c r="L5" s="1030"/>
      <c r="M5" s="1007"/>
      <c r="N5" s="1007"/>
      <c r="O5" s="27"/>
      <c r="P5" s="27"/>
      <c r="Q5" s="27"/>
    </row>
    <row r="6" spans="2:18" ht="18.75" customHeight="1">
      <c r="B6" s="1031" t="s">
        <v>47</v>
      </c>
      <c r="C6" s="1015">
        <f>SUM(D6:D8)</f>
        <v>1187</v>
      </c>
      <c r="D6" s="355">
        <f>302</f>
        <v>302</v>
      </c>
      <c r="E6" s="356" t="s">
        <v>58</v>
      </c>
      <c r="F6" s="357">
        <v>0.755</v>
      </c>
      <c r="G6" s="356">
        <v>7000</v>
      </c>
      <c r="H6" s="358">
        <f>5.23/100</f>
        <v>5.2300000000000006E-2</v>
      </c>
      <c r="I6" s="358">
        <v>4.333E-2</v>
      </c>
      <c r="J6" s="356">
        <v>68.61</v>
      </c>
      <c r="K6" s="359">
        <f>(D6*H6*G6*F6*I6*J6)/1000</f>
        <v>248.15882938986931</v>
      </c>
      <c r="L6" s="1008">
        <f>K6+K7+K8</f>
        <v>248.15882938986931</v>
      </c>
      <c r="M6" s="1007"/>
      <c r="N6" s="1007"/>
      <c r="O6" s="27"/>
      <c r="P6" s="27"/>
      <c r="Q6" s="27"/>
    </row>
    <row r="7" spans="2:18">
      <c r="B7" s="1028"/>
      <c r="C7" s="1015"/>
      <c r="D7" s="360">
        <f>1</f>
        <v>1</v>
      </c>
      <c r="E7" s="361" t="s">
        <v>228</v>
      </c>
      <c r="F7" s="356">
        <v>0.84</v>
      </c>
      <c r="G7" s="356">
        <v>7000</v>
      </c>
      <c r="H7" s="356">
        <v>0</v>
      </c>
      <c r="I7" s="358">
        <v>4.48E-2</v>
      </c>
      <c r="J7" s="356">
        <v>73.33</v>
      </c>
      <c r="K7" s="359">
        <f>(D7*H7*G7*F7*I7*J7)/1000</f>
        <v>0</v>
      </c>
      <c r="L7" s="1009"/>
      <c r="M7" s="244"/>
      <c r="N7" s="1005"/>
      <c r="O7" s="27"/>
      <c r="P7" s="27"/>
      <c r="Q7" s="27"/>
    </row>
    <row r="8" spans="2:18">
      <c r="B8" s="1029"/>
      <c r="C8" s="1016"/>
      <c r="D8" s="360">
        <f>884</f>
        <v>884</v>
      </c>
      <c r="E8" s="361" t="s">
        <v>229</v>
      </c>
      <c r="F8" s="356">
        <v>0.5</v>
      </c>
      <c r="G8" s="356">
        <v>7000</v>
      </c>
      <c r="H8" s="356">
        <v>0</v>
      </c>
      <c r="I8" s="358">
        <v>4.7310000000000005E-2</v>
      </c>
      <c r="J8" s="356">
        <v>62.44</v>
      </c>
      <c r="K8" s="359">
        <f>(D8*H8*G8*F8*I8*J8)/1000</f>
        <v>0</v>
      </c>
      <c r="L8" s="1010"/>
      <c r="M8" s="244"/>
      <c r="N8" s="1005"/>
      <c r="O8" s="27"/>
      <c r="P8" s="27"/>
      <c r="Q8" s="27"/>
    </row>
    <row r="9" spans="2:18">
      <c r="B9" s="1017" t="s">
        <v>156</v>
      </c>
      <c r="C9" s="1014">
        <f>SUM(D9:D11)</f>
        <v>16077</v>
      </c>
      <c r="D9" s="362">
        <v>5684</v>
      </c>
      <c r="E9" s="356" t="s">
        <v>58</v>
      </c>
      <c r="F9" s="356">
        <v>0.76</v>
      </c>
      <c r="G9" s="356">
        <v>7456</v>
      </c>
      <c r="H9" s="356">
        <f>8.4/100</f>
        <v>8.4000000000000005E-2</v>
      </c>
      <c r="I9" s="358">
        <v>4.333E-2</v>
      </c>
      <c r="J9" s="356">
        <v>68.61</v>
      </c>
      <c r="K9" s="359">
        <f>(D9*H9*G9*F9*I9*J9)/1000</f>
        <v>8043.2016190469976</v>
      </c>
      <c r="L9" s="1008">
        <f>K9+K10+K11</f>
        <v>33338.82706281665</v>
      </c>
      <c r="M9" s="244"/>
      <c r="N9" s="1005"/>
      <c r="O9" s="27"/>
      <c r="P9" s="27"/>
      <c r="Q9" s="27"/>
    </row>
    <row r="10" spans="2:18">
      <c r="B10" s="1017"/>
      <c r="C10" s="1015"/>
      <c r="D10" s="360">
        <v>1197</v>
      </c>
      <c r="E10" s="361" t="s">
        <v>228</v>
      </c>
      <c r="F10" s="356">
        <v>0.84</v>
      </c>
      <c r="G10" s="356">
        <v>13282</v>
      </c>
      <c r="H10" s="356">
        <f>7.3/100</f>
        <v>7.2999999999999995E-2</v>
      </c>
      <c r="I10" s="358">
        <v>4.48E-2</v>
      </c>
      <c r="J10" s="356">
        <v>73.33</v>
      </c>
      <c r="K10" s="359">
        <f t="shared" ref="K10:K26" si="0">(D10*H10*G10*F10*I10*J10)/1000</f>
        <v>3202.7236847317558</v>
      </c>
      <c r="L10" s="1009"/>
      <c r="M10" s="244"/>
      <c r="N10" s="1005"/>
      <c r="O10" s="27"/>
      <c r="P10" s="27"/>
      <c r="Q10" s="27"/>
    </row>
    <row r="11" spans="2:18">
      <c r="B11" s="1017"/>
      <c r="C11" s="1016"/>
      <c r="D11" s="360">
        <v>9196</v>
      </c>
      <c r="E11" s="361" t="s">
        <v>229</v>
      </c>
      <c r="F11" s="356">
        <v>0.5</v>
      </c>
      <c r="G11" s="356">
        <v>14268</v>
      </c>
      <c r="H11" s="356">
        <f>11.4/100</f>
        <v>0.114</v>
      </c>
      <c r="I11" s="358">
        <v>4.7310000000000005E-2</v>
      </c>
      <c r="J11" s="356">
        <v>62.44</v>
      </c>
      <c r="K11" s="359">
        <f t="shared" si="0"/>
        <v>22092.901759037897</v>
      </c>
      <c r="L11" s="1010"/>
      <c r="M11" s="244"/>
      <c r="N11" s="1005"/>
      <c r="O11" s="27"/>
      <c r="P11" s="27"/>
      <c r="Q11" s="27"/>
    </row>
    <row r="12" spans="2:18">
      <c r="B12" s="1017" t="s">
        <v>157</v>
      </c>
      <c r="C12" s="1014">
        <f>SUM(D12:D14)</f>
        <v>3249</v>
      </c>
      <c r="D12" s="360">
        <v>560</v>
      </c>
      <c r="E12" s="361" t="s">
        <v>58</v>
      </c>
      <c r="F12" s="356">
        <v>0.76</v>
      </c>
      <c r="G12" s="356">
        <v>1000</v>
      </c>
      <c r="H12" s="356">
        <f>32.1/100</f>
        <v>0.32100000000000001</v>
      </c>
      <c r="I12" s="358">
        <v>4.333E-2</v>
      </c>
      <c r="J12" s="356">
        <v>68.61</v>
      </c>
      <c r="K12" s="359">
        <f t="shared" si="0"/>
        <v>406.14654211488005</v>
      </c>
      <c r="L12" s="1008">
        <f>K12+K13+K14</f>
        <v>34721.578359466737</v>
      </c>
      <c r="M12" s="244"/>
      <c r="N12" s="1005"/>
      <c r="O12" s="27"/>
      <c r="P12" s="27"/>
      <c r="Q12" s="27"/>
    </row>
    <row r="13" spans="2:18">
      <c r="B13" s="1017"/>
      <c r="C13" s="1015"/>
      <c r="D13" s="360">
        <v>973</v>
      </c>
      <c r="E13" s="361" t="s">
        <v>228</v>
      </c>
      <c r="F13" s="356">
        <v>0.84</v>
      </c>
      <c r="G13" s="356">
        <v>18746</v>
      </c>
      <c r="H13" s="356">
        <f>25.7/100</f>
        <v>0.25700000000000001</v>
      </c>
      <c r="I13" s="358">
        <v>4.48E-2</v>
      </c>
      <c r="J13" s="356">
        <v>73.33</v>
      </c>
      <c r="K13" s="359">
        <f t="shared" si="0"/>
        <v>12935.808012636688</v>
      </c>
      <c r="L13" s="1009"/>
      <c r="M13" s="244"/>
      <c r="N13" s="1005"/>
      <c r="O13" s="27"/>
      <c r="P13" s="27"/>
      <c r="Q13" s="27"/>
    </row>
    <row r="14" spans="2:18">
      <c r="B14" s="1017"/>
      <c r="C14" s="1016"/>
      <c r="D14" s="360">
        <v>1716</v>
      </c>
      <c r="E14" s="356" t="s">
        <v>229</v>
      </c>
      <c r="F14" s="356">
        <v>0.5</v>
      </c>
      <c r="G14" s="356">
        <v>29087</v>
      </c>
      <c r="H14" s="356">
        <v>0.28999999999999998</v>
      </c>
      <c r="I14" s="358">
        <v>4.7309999999999998E-2</v>
      </c>
      <c r="J14" s="356">
        <v>62.44</v>
      </c>
      <c r="K14" s="359">
        <f t="shared" si="0"/>
        <v>21379.623804715171</v>
      </c>
      <c r="L14" s="1010"/>
      <c r="M14" s="244"/>
      <c r="N14" s="1005"/>
      <c r="O14" s="27"/>
      <c r="P14" s="27"/>
      <c r="Q14" s="27"/>
    </row>
    <row r="15" spans="2:18">
      <c r="B15" s="1031" t="s">
        <v>59</v>
      </c>
      <c r="C15" s="1014">
        <f>SUM(D15:D17)</f>
        <v>234</v>
      </c>
      <c r="D15" s="360">
        <v>14</v>
      </c>
      <c r="E15" s="356" t="s">
        <v>58</v>
      </c>
      <c r="F15" s="356">
        <v>0.76</v>
      </c>
      <c r="G15" s="356">
        <v>1000</v>
      </c>
      <c r="H15" s="356">
        <f>32.1/100</f>
        <v>0.32100000000000001</v>
      </c>
      <c r="I15" s="358">
        <v>4.333E-2</v>
      </c>
      <c r="J15" s="356">
        <v>68.61</v>
      </c>
      <c r="K15" s="359">
        <f t="shared" si="0"/>
        <v>10.153663552872001</v>
      </c>
      <c r="L15" s="1008">
        <f>K15+K16+K17</f>
        <v>2835.5447011691508</v>
      </c>
      <c r="M15" s="244"/>
      <c r="N15" s="1005"/>
      <c r="O15" s="27"/>
      <c r="P15" s="27"/>
      <c r="Q15" s="27"/>
      <c r="R15" s="27"/>
    </row>
    <row r="16" spans="2:18">
      <c r="B16" s="1028"/>
      <c r="C16" s="1015"/>
      <c r="D16" s="360">
        <v>101</v>
      </c>
      <c r="E16" s="361" t="s">
        <v>228</v>
      </c>
      <c r="F16" s="356">
        <v>0.84</v>
      </c>
      <c r="G16" s="356">
        <v>18746</v>
      </c>
      <c r="H16" s="356">
        <f>25.7/100</f>
        <v>0.25700000000000001</v>
      </c>
      <c r="I16" s="358">
        <v>4.48E-2</v>
      </c>
      <c r="J16" s="356">
        <v>73.33</v>
      </c>
      <c r="K16" s="359">
        <f t="shared" si="0"/>
        <v>1342.7714381051444</v>
      </c>
      <c r="L16" s="1009"/>
      <c r="M16" s="244"/>
      <c r="N16" s="1005"/>
      <c r="O16" s="27"/>
      <c r="P16" s="27"/>
      <c r="Q16" s="27"/>
    </row>
    <row r="17" spans="2:17">
      <c r="B17" s="1029"/>
      <c r="C17" s="1016"/>
      <c r="D17" s="360">
        <v>119</v>
      </c>
      <c r="E17" s="361" t="s">
        <v>229</v>
      </c>
      <c r="F17" s="356">
        <v>0.5</v>
      </c>
      <c r="G17" s="356">
        <v>29087</v>
      </c>
      <c r="H17" s="356">
        <v>0.28999999999999998</v>
      </c>
      <c r="I17" s="358">
        <v>4.7310000000000005E-2</v>
      </c>
      <c r="J17" s="356">
        <v>62.44</v>
      </c>
      <c r="K17" s="359">
        <f t="shared" si="0"/>
        <v>1482.6195995111343</v>
      </c>
      <c r="L17" s="1010"/>
      <c r="M17" s="244"/>
      <c r="N17" s="1005"/>
      <c r="O17" s="27"/>
      <c r="P17" s="27"/>
      <c r="Q17" s="27"/>
    </row>
    <row r="18" spans="2:17">
      <c r="B18" s="1011" t="s">
        <v>158</v>
      </c>
      <c r="C18" s="1014">
        <f>SUM(D18:D20)</f>
        <v>127</v>
      </c>
      <c r="D18" s="362">
        <v>12</v>
      </c>
      <c r="E18" s="356" t="s">
        <v>58</v>
      </c>
      <c r="F18" s="356">
        <v>0.76</v>
      </c>
      <c r="G18" s="356">
        <v>9677</v>
      </c>
      <c r="H18" s="356">
        <f>10/100</f>
        <v>0.1</v>
      </c>
      <c r="I18" s="358">
        <v>4.333E-2</v>
      </c>
      <c r="J18" s="356">
        <v>68.61</v>
      </c>
      <c r="K18" s="359">
        <f t="shared" si="0"/>
        <v>26.236849719931204</v>
      </c>
      <c r="L18" s="1008">
        <f>K18+K19+K20</f>
        <v>502.94062913764321</v>
      </c>
      <c r="M18" s="244"/>
      <c r="N18" s="1005"/>
      <c r="O18" s="27"/>
      <c r="P18" s="27"/>
      <c r="Q18" s="27"/>
    </row>
    <row r="19" spans="2:17">
      <c r="B19" s="1012"/>
      <c r="C19" s="1015"/>
      <c r="D19" s="362">
        <v>60</v>
      </c>
      <c r="E19" s="361" t="s">
        <v>228</v>
      </c>
      <c r="F19" s="356">
        <v>0.84</v>
      </c>
      <c r="G19" s="356">
        <v>15682</v>
      </c>
      <c r="H19" s="356">
        <f>11/100</f>
        <v>0.11</v>
      </c>
      <c r="I19" s="358">
        <v>4.48E-2</v>
      </c>
      <c r="J19" s="356">
        <v>73.33</v>
      </c>
      <c r="K19" s="359">
        <f t="shared" si="0"/>
        <v>285.61720842547197</v>
      </c>
      <c r="L19" s="1009"/>
      <c r="M19" s="244"/>
      <c r="N19" s="1005"/>
      <c r="O19" s="27"/>
      <c r="P19" s="27"/>
      <c r="Q19" s="27"/>
    </row>
    <row r="20" spans="2:17" ht="15" customHeight="1">
      <c r="B20" s="1013"/>
      <c r="C20" s="1016"/>
      <c r="D20" s="362">
        <v>55</v>
      </c>
      <c r="E20" s="361" t="s">
        <v>229</v>
      </c>
      <c r="F20" s="356">
        <v>0.5</v>
      </c>
      <c r="G20" s="356">
        <v>17424</v>
      </c>
      <c r="H20" s="356">
        <f>13.5/100</f>
        <v>0.13500000000000001</v>
      </c>
      <c r="I20" s="358">
        <v>4.7310000000000005E-2</v>
      </c>
      <c r="J20" s="356">
        <v>62.44</v>
      </c>
      <c r="K20" s="359">
        <f t="shared" si="0"/>
        <v>191.08657099224001</v>
      </c>
      <c r="L20" s="1010"/>
      <c r="M20" s="244"/>
      <c r="N20" s="1005"/>
      <c r="O20" s="27"/>
      <c r="P20" s="27"/>
      <c r="Q20" s="27"/>
    </row>
    <row r="21" spans="2:17" ht="15" customHeight="1">
      <c r="B21" s="1011" t="s">
        <v>159</v>
      </c>
      <c r="C21" s="1014">
        <f>SUM(D21:D23)</f>
        <v>296</v>
      </c>
      <c r="D21" s="362">
        <v>34</v>
      </c>
      <c r="E21" s="356" t="s">
        <v>58</v>
      </c>
      <c r="F21" s="356">
        <v>0.76</v>
      </c>
      <c r="G21" s="356">
        <v>1000</v>
      </c>
      <c r="H21" s="356">
        <f>32.1/100</f>
        <v>0.32100000000000001</v>
      </c>
      <c r="I21" s="358">
        <v>4.333E-2</v>
      </c>
      <c r="J21" s="356">
        <v>68.61</v>
      </c>
      <c r="K21" s="359">
        <f t="shared" si="0"/>
        <v>24.658897199831998</v>
      </c>
      <c r="L21" s="1008">
        <f>K21+K22+K23</f>
        <v>2457.6012058457864</v>
      </c>
      <c r="M21" s="244"/>
      <c r="N21" s="1005"/>
      <c r="O21" s="27"/>
      <c r="P21" s="27"/>
      <c r="Q21" s="27"/>
    </row>
    <row r="22" spans="2:17">
      <c r="B22" s="1012"/>
      <c r="C22" s="1015"/>
      <c r="D22" s="362">
        <v>183</v>
      </c>
      <c r="E22" s="361" t="s">
        <v>228</v>
      </c>
      <c r="F22" s="356">
        <v>0.84</v>
      </c>
      <c r="G22" s="356">
        <v>18746</v>
      </c>
      <c r="H22" s="356">
        <f>25.7/100</f>
        <v>0.25700000000000001</v>
      </c>
      <c r="I22" s="358">
        <v>4.48E-2</v>
      </c>
      <c r="J22" s="356">
        <v>73.33</v>
      </c>
      <c r="K22" s="359">
        <f t="shared" si="0"/>
        <v>2432.9423086459542</v>
      </c>
      <c r="L22" s="1009"/>
      <c r="M22" s="244"/>
      <c r="N22" s="1005"/>
      <c r="O22" s="27"/>
      <c r="P22" s="27"/>
      <c r="Q22" s="27"/>
    </row>
    <row r="23" spans="2:17" ht="15" customHeight="1">
      <c r="B23" s="1013"/>
      <c r="C23" s="1016"/>
      <c r="D23" s="362">
        <v>79</v>
      </c>
      <c r="E23" s="361" t="s">
        <v>229</v>
      </c>
      <c r="F23" s="356">
        <v>0.5</v>
      </c>
      <c r="G23" s="356">
        <v>29087</v>
      </c>
      <c r="H23" s="356">
        <v>0</v>
      </c>
      <c r="I23" s="358">
        <v>4.7310000000000005E-2</v>
      </c>
      <c r="J23" s="356">
        <v>62.44</v>
      </c>
      <c r="K23" s="359">
        <f t="shared" si="0"/>
        <v>0</v>
      </c>
      <c r="L23" s="1010"/>
      <c r="M23" s="244"/>
      <c r="N23" s="1005"/>
      <c r="O23" s="27"/>
      <c r="P23" s="27"/>
      <c r="Q23" s="27"/>
    </row>
    <row r="24" spans="2:17">
      <c r="B24" s="1011" t="s">
        <v>53</v>
      </c>
      <c r="C24" s="1014">
        <f>SUM(D24:D26)</f>
        <v>1282</v>
      </c>
      <c r="D24" s="362">
        <v>86</v>
      </c>
      <c r="E24" s="356" t="s">
        <v>58</v>
      </c>
      <c r="F24" s="356">
        <v>0.76</v>
      </c>
      <c r="G24" s="356">
        <v>13071</v>
      </c>
      <c r="H24" s="356">
        <f>32.1/100</f>
        <v>0.32100000000000001</v>
      </c>
      <c r="I24" s="358">
        <v>4.333E-2</v>
      </c>
      <c r="J24" s="356">
        <v>68.61</v>
      </c>
      <c r="K24" s="359">
        <f t="shared" si="0"/>
        <v>815.27100869748085</v>
      </c>
      <c r="L24" s="1008">
        <f>K24+K25+K26</f>
        <v>2622.9259572156629</v>
      </c>
      <c r="M24" s="244"/>
      <c r="N24" s="1005"/>
      <c r="O24" s="27"/>
      <c r="P24" s="27"/>
      <c r="Q24" s="27"/>
    </row>
    <row r="25" spans="2:17">
      <c r="B25" s="1012"/>
      <c r="C25" s="1015"/>
      <c r="D25" s="360">
        <v>195</v>
      </c>
      <c r="E25" s="361" t="s">
        <v>228</v>
      </c>
      <c r="F25" s="356">
        <v>0.84</v>
      </c>
      <c r="G25" s="356">
        <f>26142/2</f>
        <v>13071</v>
      </c>
      <c r="H25" s="356">
        <f>25.7/100</f>
        <v>0.25700000000000001</v>
      </c>
      <c r="I25" s="358">
        <v>4.48E-2</v>
      </c>
      <c r="J25" s="356">
        <v>73.33</v>
      </c>
      <c r="K25" s="359">
        <f t="shared" si="0"/>
        <v>1807.6549485181822</v>
      </c>
      <c r="L25" s="1009"/>
      <c r="M25" s="244"/>
      <c r="N25" s="244"/>
      <c r="O25" s="27"/>
      <c r="P25" s="27"/>
      <c r="Q25" s="27"/>
    </row>
    <row r="26" spans="2:17">
      <c r="B26" s="1013"/>
      <c r="C26" s="1016"/>
      <c r="D26" s="360">
        <v>1001</v>
      </c>
      <c r="E26" s="361" t="s">
        <v>229</v>
      </c>
      <c r="F26" s="356">
        <v>0.5</v>
      </c>
      <c r="G26" s="356">
        <v>13071</v>
      </c>
      <c r="H26" s="356">
        <v>0</v>
      </c>
      <c r="I26" s="358">
        <v>4.7310000000000005E-2</v>
      </c>
      <c r="J26" s="356">
        <v>62.44</v>
      </c>
      <c r="K26" s="359">
        <f t="shared" si="0"/>
        <v>0</v>
      </c>
      <c r="L26" s="1010"/>
      <c r="M26" s="244"/>
      <c r="N26" s="244"/>
      <c r="O26" s="27"/>
      <c r="P26" s="27"/>
      <c r="Q26" s="27"/>
    </row>
    <row r="27" spans="2:17">
      <c r="B27" s="1017" t="s">
        <v>13</v>
      </c>
      <c r="C27" s="1014">
        <f>SUM(C6:C26)</f>
        <v>22452</v>
      </c>
      <c r="D27" s="360">
        <f>D6+D9+D12+D15+D18++D21+D24</f>
        <v>6692</v>
      </c>
      <c r="E27" s="356" t="s">
        <v>58</v>
      </c>
      <c r="F27" s="364"/>
      <c r="G27" s="364"/>
      <c r="H27" s="364"/>
      <c r="I27" s="365"/>
      <c r="J27" s="364"/>
      <c r="K27" s="359">
        <f>K6+K9+K12+K15+K18+K21+K24</f>
        <v>9573.8274097218618</v>
      </c>
      <c r="L27" s="1021">
        <f>SUM(K27:K29)</f>
        <v>76727.576745041501</v>
      </c>
      <c r="M27" s="244"/>
      <c r="N27" s="244"/>
      <c r="O27" s="27"/>
      <c r="P27" s="27"/>
      <c r="Q27" s="27"/>
    </row>
    <row r="28" spans="2:17">
      <c r="B28" s="1017"/>
      <c r="C28" s="1015"/>
      <c r="D28" s="360">
        <f>D7+D10+D13+D16+D19+D22+D25</f>
        <v>2710</v>
      </c>
      <c r="E28" s="361" t="s">
        <v>228</v>
      </c>
      <c r="F28" s="364"/>
      <c r="G28" s="364"/>
      <c r="H28" s="364"/>
      <c r="I28" s="365"/>
      <c r="J28" s="364"/>
      <c r="K28" s="359">
        <f>K7+K10+K13+K16+K19+K22+K25</f>
        <v>22007.517601063195</v>
      </c>
      <c r="L28" s="1009"/>
      <c r="M28" s="244"/>
      <c r="N28" s="1005"/>
      <c r="O28" s="27"/>
      <c r="P28" s="27"/>
      <c r="Q28" s="27"/>
    </row>
    <row r="29" spans="2:17" ht="15.75" thickBot="1">
      <c r="B29" s="1018"/>
      <c r="C29" s="1019"/>
      <c r="D29" s="366">
        <f>D8+D11+D14+D17+D20+D23+D26</f>
        <v>13050</v>
      </c>
      <c r="E29" s="367" t="s">
        <v>229</v>
      </c>
      <c r="F29" s="368"/>
      <c r="G29" s="368"/>
      <c r="H29" s="368"/>
      <c r="I29" s="369"/>
      <c r="J29" s="368"/>
      <c r="K29" s="370">
        <f>K8+K11+K14+K17+K20+K23+K26</f>
        <v>45146.231734256435</v>
      </c>
      <c r="L29" s="1022"/>
      <c r="M29" s="244"/>
      <c r="N29" s="1005"/>
      <c r="O29" s="27"/>
      <c r="P29" s="27"/>
      <c r="Q29" s="27"/>
    </row>
    <row r="30" spans="2:17">
      <c r="B30" s="208"/>
      <c r="C30" s="205"/>
      <c r="D30" s="209"/>
      <c r="E30" s="201"/>
      <c r="F30" s="201"/>
      <c r="G30" s="201"/>
      <c r="H30" s="324"/>
      <c r="I30" s="199"/>
      <c r="J30" s="199"/>
      <c r="K30" s="200"/>
      <c r="L30" s="198"/>
      <c r="M30" s="244"/>
      <c r="N30" s="1005"/>
      <c r="O30" s="27"/>
      <c r="P30" s="27"/>
      <c r="Q30" s="27"/>
    </row>
    <row r="31" spans="2:17" ht="15.75" thickBot="1">
      <c r="B31" s="206"/>
      <c r="C31" s="206"/>
      <c r="D31" s="207"/>
      <c r="E31" s="207"/>
      <c r="F31" s="206"/>
      <c r="G31" s="206"/>
      <c r="H31" s="206"/>
      <c r="I31" s="206"/>
      <c r="J31" s="203"/>
      <c r="K31" s="204"/>
      <c r="L31" s="202"/>
      <c r="M31" s="244"/>
      <c r="N31" s="1005"/>
      <c r="O31" s="27"/>
      <c r="P31" s="27"/>
      <c r="Q31" s="27"/>
    </row>
    <row r="32" spans="2:17" ht="19.5" thickBot="1">
      <c r="B32" s="1048" t="s">
        <v>222</v>
      </c>
      <c r="C32" s="1049"/>
      <c r="D32" s="1049"/>
      <c r="E32" s="1049"/>
      <c r="F32" s="1050"/>
      <c r="G32" s="351"/>
      <c r="H32" s="351"/>
      <c r="I32" s="351"/>
      <c r="J32" s="351"/>
      <c r="K32" s="351"/>
      <c r="L32" s="20"/>
      <c r="M32" s="244"/>
      <c r="N32" s="1005"/>
      <c r="O32" s="27"/>
      <c r="P32" s="27"/>
      <c r="Q32" s="27"/>
    </row>
    <row r="33" spans="2:17">
      <c r="B33" s="353"/>
      <c r="C33" s="1051" t="s">
        <v>57</v>
      </c>
      <c r="D33" s="1051"/>
      <c r="E33" s="1041" t="s">
        <v>223</v>
      </c>
      <c r="F33" s="1043" t="s">
        <v>224</v>
      </c>
      <c r="G33" s="1041" t="s">
        <v>154</v>
      </c>
      <c r="H33" s="1041" t="s">
        <v>225</v>
      </c>
      <c r="I33" s="1043" t="s">
        <v>226</v>
      </c>
      <c r="J33" s="1045" t="s">
        <v>227</v>
      </c>
      <c r="K33" s="1032" t="s">
        <v>155</v>
      </c>
      <c r="L33" s="1023" t="s">
        <v>24</v>
      </c>
      <c r="M33" s="244"/>
      <c r="N33" s="1005"/>
      <c r="O33" s="27"/>
      <c r="P33" s="27"/>
      <c r="Q33" s="27"/>
    </row>
    <row r="34" spans="2:17">
      <c r="B34" s="354"/>
      <c r="C34" s="1052"/>
      <c r="D34" s="1052"/>
      <c r="E34" s="1053"/>
      <c r="F34" s="1044"/>
      <c r="G34" s="1053"/>
      <c r="H34" s="1053"/>
      <c r="I34" s="1044"/>
      <c r="J34" s="1046"/>
      <c r="K34" s="1033"/>
      <c r="L34" s="1024"/>
      <c r="M34" s="197"/>
      <c r="N34" s="197"/>
      <c r="O34" s="27"/>
      <c r="P34" s="27"/>
      <c r="Q34" s="27"/>
    </row>
    <row r="35" spans="2:17" ht="18.75">
      <c r="B35" s="1027" t="s">
        <v>47</v>
      </c>
      <c r="C35" s="1015">
        <f>SUM(D35:D37)</f>
        <v>2549</v>
      </c>
      <c r="D35" s="355">
        <v>1720</v>
      </c>
      <c r="E35" s="371" t="s">
        <v>58</v>
      </c>
      <c r="F35" s="372">
        <v>0.755</v>
      </c>
      <c r="G35" s="371">
        <v>7000</v>
      </c>
      <c r="H35" s="373">
        <f>5.23/100</f>
        <v>5.2300000000000006E-2</v>
      </c>
      <c r="I35" s="373">
        <v>4.333E-2</v>
      </c>
      <c r="J35" s="371">
        <v>68.61</v>
      </c>
      <c r="K35" s="920">
        <f>(D35*H35*G35*F35*I35*J35)/1000</f>
        <v>1413.3549223528983</v>
      </c>
      <c r="L35" s="921"/>
      <c r="M35" s="196"/>
      <c r="N35" s="292"/>
      <c r="O35" s="27"/>
      <c r="P35" s="27"/>
      <c r="Q35" s="27"/>
    </row>
    <row r="36" spans="2:17">
      <c r="B36" s="1028"/>
      <c r="C36" s="1015"/>
      <c r="D36" s="375">
        <v>15</v>
      </c>
      <c r="E36" s="376" t="s">
        <v>228</v>
      </c>
      <c r="F36" s="371">
        <v>0.84</v>
      </c>
      <c r="G36" s="371">
        <v>7000</v>
      </c>
      <c r="H36" s="371">
        <v>0</v>
      </c>
      <c r="I36" s="373">
        <v>4.48E-2</v>
      </c>
      <c r="J36" s="371">
        <v>73.33</v>
      </c>
      <c r="K36" s="920">
        <f>(D36*H36*G36*F36*I36*J36)/1000</f>
        <v>0</v>
      </c>
      <c r="L36" s="923">
        <f>K35+K36+K37</f>
        <v>1413.3549223528983</v>
      </c>
      <c r="M36" s="1020"/>
      <c r="N36" s="1020"/>
      <c r="O36" s="27"/>
      <c r="P36" s="27"/>
      <c r="Q36" s="27"/>
    </row>
    <row r="37" spans="2:17" ht="15.75" customHeight="1">
      <c r="B37" s="1029"/>
      <c r="C37" s="1016"/>
      <c r="D37" s="375">
        <v>814</v>
      </c>
      <c r="E37" s="376" t="s">
        <v>229</v>
      </c>
      <c r="F37" s="371">
        <v>0.5</v>
      </c>
      <c r="G37" s="371">
        <v>7000</v>
      </c>
      <c r="H37" s="371">
        <v>0</v>
      </c>
      <c r="I37" s="373">
        <v>4.7310000000000005E-2</v>
      </c>
      <c r="J37" s="371">
        <v>62.44</v>
      </c>
      <c r="K37" s="920">
        <f>(D37*H37*G37*F37*I37*J37)/1000</f>
        <v>0</v>
      </c>
      <c r="L37" s="925"/>
      <c r="M37" s="1007"/>
      <c r="N37" s="1007"/>
      <c r="O37" s="27"/>
      <c r="P37" s="27"/>
      <c r="Q37" s="27"/>
    </row>
    <row r="38" spans="2:17">
      <c r="B38" s="1026" t="s">
        <v>156</v>
      </c>
      <c r="C38" s="1025">
        <f>SUM(D38:D40)</f>
        <v>26435</v>
      </c>
      <c r="D38" s="377">
        <v>9645</v>
      </c>
      <c r="E38" s="371" t="s">
        <v>58</v>
      </c>
      <c r="F38" s="371">
        <v>0.76</v>
      </c>
      <c r="G38" s="371">
        <v>7456</v>
      </c>
      <c r="H38" s="371">
        <f>8.4/100</f>
        <v>8.4000000000000005E-2</v>
      </c>
      <c r="I38" s="373">
        <v>4.333E-2</v>
      </c>
      <c r="J38" s="371">
        <v>68.61</v>
      </c>
      <c r="K38" s="920">
        <f>(D38*H38*G38*F38*I38*J38)/1000</f>
        <v>13648.25468256655</v>
      </c>
      <c r="L38" s="924"/>
      <c r="M38" s="244"/>
      <c r="N38" s="1005"/>
      <c r="O38" s="27"/>
      <c r="P38" s="27"/>
      <c r="Q38" s="27"/>
    </row>
    <row r="39" spans="2:17">
      <c r="B39" s="1026"/>
      <c r="C39" s="1015"/>
      <c r="D39" s="375">
        <v>6947</v>
      </c>
      <c r="E39" s="376" t="s">
        <v>228</v>
      </c>
      <c r="F39" s="371">
        <v>0.84</v>
      </c>
      <c r="G39" s="371">
        <v>13282</v>
      </c>
      <c r="H39" s="371">
        <f>7.3/100</f>
        <v>7.2999999999999995E-2</v>
      </c>
      <c r="I39" s="373">
        <v>4.48E-2</v>
      </c>
      <c r="J39" s="371">
        <v>73.33</v>
      </c>
      <c r="K39" s="920">
        <f t="shared" ref="K39:K58" si="1">(D39*H39*G39*F39*I39*J39)/1000</f>
        <v>18587.570123501675</v>
      </c>
      <c r="L39" s="923">
        <f>K38+K39+K40</f>
        <v>55883.109714094542</v>
      </c>
      <c r="M39" s="536"/>
      <c r="N39" s="1005"/>
      <c r="O39" s="27"/>
      <c r="P39" s="27"/>
      <c r="Q39" s="27"/>
    </row>
    <row r="40" spans="2:17">
      <c r="B40" s="1026"/>
      <c r="C40" s="1016"/>
      <c r="D40" s="375">
        <v>9843</v>
      </c>
      <c r="E40" s="376" t="s">
        <v>229</v>
      </c>
      <c r="F40" s="371">
        <v>0.5</v>
      </c>
      <c r="G40" s="371">
        <v>14268</v>
      </c>
      <c r="H40" s="371">
        <f>11.4/100</f>
        <v>0.114</v>
      </c>
      <c r="I40" s="373">
        <v>4.7310000000000005E-2</v>
      </c>
      <c r="J40" s="371">
        <v>62.44</v>
      </c>
      <c r="K40" s="920">
        <f t="shared" si="1"/>
        <v>23647.284908026319</v>
      </c>
      <c r="L40" s="925"/>
      <c r="M40" s="244"/>
      <c r="N40" s="1005"/>
      <c r="O40" s="27"/>
      <c r="P40" s="27"/>
      <c r="Q40" s="27"/>
    </row>
    <row r="41" spans="2:17">
      <c r="B41" s="1026" t="s">
        <v>157</v>
      </c>
      <c r="C41" s="1025">
        <f>SUM(D41:D43)</f>
        <v>4593</v>
      </c>
      <c r="D41" s="375">
        <f>434</f>
        <v>434</v>
      </c>
      <c r="E41" s="376" t="s">
        <v>58</v>
      </c>
      <c r="F41" s="371">
        <v>0.76</v>
      </c>
      <c r="G41" s="371">
        <v>1000</v>
      </c>
      <c r="H41" s="371">
        <f>32.1/100</f>
        <v>0.32100000000000001</v>
      </c>
      <c r="I41" s="373">
        <v>4.333E-2</v>
      </c>
      <c r="J41" s="371">
        <v>68.61</v>
      </c>
      <c r="K41" s="920">
        <f t="shared" si="1"/>
        <v>314.76357013903203</v>
      </c>
      <c r="L41" s="924"/>
      <c r="M41" s="244"/>
      <c r="N41" s="1005"/>
      <c r="O41" s="27"/>
      <c r="P41" s="27"/>
      <c r="Q41" s="27"/>
    </row>
    <row r="42" spans="2:17">
      <c r="B42" s="1026"/>
      <c r="C42" s="1015"/>
      <c r="D42" s="375">
        <v>2594</v>
      </c>
      <c r="E42" s="376" t="s">
        <v>228</v>
      </c>
      <c r="F42" s="371">
        <v>0.84</v>
      </c>
      <c r="G42" s="371">
        <v>18746</v>
      </c>
      <c r="H42" s="371">
        <f>25.7/100</f>
        <v>0.25700000000000001</v>
      </c>
      <c r="I42" s="373">
        <v>4.48E-2</v>
      </c>
      <c r="J42" s="371">
        <v>73.33</v>
      </c>
      <c r="K42" s="920">
        <f t="shared" si="1"/>
        <v>34486.624855888556</v>
      </c>
      <c r="L42" s="923">
        <f>K41+K42+K43</f>
        <v>54299.705007833676</v>
      </c>
      <c r="M42" s="244"/>
      <c r="N42" s="1005"/>
      <c r="O42" s="27"/>
      <c r="P42" s="27"/>
      <c r="Q42" s="27"/>
    </row>
    <row r="43" spans="2:17">
      <c r="B43" s="1026"/>
      <c r="C43" s="1016"/>
      <c r="D43" s="375">
        <v>1565</v>
      </c>
      <c r="E43" s="371" t="s">
        <v>229</v>
      </c>
      <c r="F43" s="371">
        <v>0.5</v>
      </c>
      <c r="G43" s="371">
        <v>29087</v>
      </c>
      <c r="H43" s="371">
        <v>0.28999999999999998</v>
      </c>
      <c r="I43" s="373">
        <v>4.7309999999999998E-2</v>
      </c>
      <c r="J43" s="371">
        <v>62.44</v>
      </c>
      <c r="K43" s="920">
        <f t="shared" si="1"/>
        <v>19498.316581806088</v>
      </c>
      <c r="L43" s="925"/>
      <c r="M43" s="244"/>
      <c r="N43" s="1005"/>
      <c r="O43" s="27"/>
      <c r="P43" s="27"/>
      <c r="Q43" s="27"/>
    </row>
    <row r="44" spans="2:17">
      <c r="B44" s="1027" t="s">
        <v>59</v>
      </c>
      <c r="C44" s="1025">
        <f>SUM(D44:D46)</f>
        <v>245</v>
      </c>
      <c r="D44" s="375">
        <v>1</v>
      </c>
      <c r="E44" s="371" t="s">
        <v>58</v>
      </c>
      <c r="F44" s="371">
        <v>0.76</v>
      </c>
      <c r="G44" s="371">
        <v>1000</v>
      </c>
      <c r="H44" s="371">
        <f>32.1/100</f>
        <v>0.32100000000000001</v>
      </c>
      <c r="I44" s="373">
        <v>4.333E-2</v>
      </c>
      <c r="J44" s="371">
        <v>68.61</v>
      </c>
      <c r="K44" s="920">
        <f t="shared" si="1"/>
        <v>0.72526168234800004</v>
      </c>
      <c r="L44" s="924"/>
      <c r="M44" s="244"/>
      <c r="N44" s="1005"/>
      <c r="O44" s="27"/>
      <c r="P44" s="27"/>
      <c r="Q44" s="27"/>
    </row>
    <row r="45" spans="2:17">
      <c r="B45" s="1028"/>
      <c r="C45" s="1015"/>
      <c r="D45" s="375">
        <v>177</v>
      </c>
      <c r="E45" s="376" t="s">
        <v>228</v>
      </c>
      <c r="F45" s="371">
        <v>0.84</v>
      </c>
      <c r="G45" s="371">
        <v>18746</v>
      </c>
      <c r="H45" s="371">
        <f>25.7/100</f>
        <v>0.25700000000000001</v>
      </c>
      <c r="I45" s="373">
        <v>4.48E-2</v>
      </c>
      <c r="J45" s="371">
        <v>73.33</v>
      </c>
      <c r="K45" s="920">
        <f t="shared" si="1"/>
        <v>2353.1737083624807</v>
      </c>
      <c r="L45" s="923">
        <f>K44+K45+K46</f>
        <v>3188.651181534291</v>
      </c>
      <c r="M45" s="244"/>
      <c r="N45" s="1005"/>
      <c r="O45" s="27"/>
      <c r="P45" s="27"/>
      <c r="Q45" s="27"/>
    </row>
    <row r="46" spans="2:17">
      <c r="B46" s="1029"/>
      <c r="C46" s="1016"/>
      <c r="D46" s="375">
        <v>67</v>
      </c>
      <c r="E46" s="376" t="s">
        <v>229</v>
      </c>
      <c r="F46" s="371">
        <v>0.5</v>
      </c>
      <c r="G46" s="371">
        <v>29087</v>
      </c>
      <c r="H46" s="371">
        <v>0.28999999999999998</v>
      </c>
      <c r="I46" s="373">
        <v>4.7310000000000005E-2</v>
      </c>
      <c r="J46" s="371">
        <v>62.44</v>
      </c>
      <c r="K46" s="920">
        <f t="shared" si="1"/>
        <v>834.75221148946207</v>
      </c>
      <c r="L46" s="925"/>
      <c r="M46" s="244"/>
      <c r="N46" s="1005"/>
      <c r="O46" s="27"/>
      <c r="P46" s="27"/>
      <c r="Q46" s="27"/>
    </row>
    <row r="47" spans="2:17">
      <c r="B47" s="1054" t="s">
        <v>158</v>
      </c>
      <c r="C47" s="1025">
        <v>11</v>
      </c>
      <c r="D47" s="377">
        <v>15</v>
      </c>
      <c r="E47" s="371" t="s">
        <v>58</v>
      </c>
      <c r="F47" s="371">
        <v>0.76</v>
      </c>
      <c r="G47" s="371">
        <v>9677</v>
      </c>
      <c r="H47" s="371">
        <f>10/100</f>
        <v>0.1</v>
      </c>
      <c r="I47" s="373">
        <v>4.333E-2</v>
      </c>
      <c r="J47" s="371">
        <v>68.61</v>
      </c>
      <c r="K47" s="920">
        <f t="shared" si="1"/>
        <v>32.796062149914</v>
      </c>
      <c r="L47" s="924"/>
      <c r="M47" s="244"/>
      <c r="N47" s="1005"/>
      <c r="O47" s="27"/>
      <c r="P47" s="27"/>
      <c r="Q47" s="27"/>
    </row>
    <row r="48" spans="2:17">
      <c r="B48" s="1012"/>
      <c r="C48" s="1015"/>
      <c r="D48" s="377">
        <v>119</v>
      </c>
      <c r="E48" s="376" t="s">
        <v>228</v>
      </c>
      <c r="F48" s="371">
        <v>0.84</v>
      </c>
      <c r="G48" s="371">
        <v>15682</v>
      </c>
      <c r="H48" s="371">
        <f>11/100</f>
        <v>0.11</v>
      </c>
      <c r="I48" s="373">
        <v>4.48E-2</v>
      </c>
      <c r="J48" s="371">
        <v>73.33</v>
      </c>
      <c r="K48" s="920">
        <f t="shared" si="1"/>
        <v>566.47413004385271</v>
      </c>
      <c r="L48" s="923">
        <f>K47+K48+K49</f>
        <v>731.29364124295068</v>
      </c>
      <c r="M48" s="244"/>
      <c r="N48" s="1005"/>
      <c r="O48" s="27"/>
      <c r="P48" s="27"/>
      <c r="Q48" s="27"/>
    </row>
    <row r="49" spans="2:17">
      <c r="B49" s="1013"/>
      <c r="C49" s="1016"/>
      <c r="D49" s="377">
        <v>38</v>
      </c>
      <c r="E49" s="376" t="s">
        <v>229</v>
      </c>
      <c r="F49" s="371">
        <v>0.5</v>
      </c>
      <c r="G49" s="371">
        <v>17424</v>
      </c>
      <c r="H49" s="371">
        <f>13.5/100</f>
        <v>0.13500000000000001</v>
      </c>
      <c r="I49" s="373">
        <v>4.7310000000000005E-2</v>
      </c>
      <c r="J49" s="371">
        <v>62.44</v>
      </c>
      <c r="K49" s="920">
        <f t="shared" si="1"/>
        <v>132.02344904918405</v>
      </c>
      <c r="L49" s="925"/>
      <c r="M49" s="244"/>
      <c r="N49" s="1005"/>
      <c r="O49" s="27"/>
      <c r="P49" s="27"/>
      <c r="Q49" s="27"/>
    </row>
    <row r="50" spans="2:17">
      <c r="B50" s="1054" t="s">
        <v>230</v>
      </c>
      <c r="C50" s="1025">
        <v>0</v>
      </c>
      <c r="D50" s="377">
        <v>3</v>
      </c>
      <c r="E50" s="376" t="s">
        <v>58</v>
      </c>
      <c r="F50" s="371">
        <v>0.76</v>
      </c>
      <c r="G50" s="371">
        <v>1000</v>
      </c>
      <c r="H50" s="371">
        <f>32.1/100</f>
        <v>0.32100000000000001</v>
      </c>
      <c r="I50" s="373">
        <v>4.333E-2</v>
      </c>
      <c r="J50" s="371">
        <v>68.61</v>
      </c>
      <c r="K50" s="920">
        <f t="shared" si="1"/>
        <v>2.1757850470440001</v>
      </c>
      <c r="L50" s="924"/>
      <c r="M50" s="244"/>
      <c r="N50" s="1005"/>
      <c r="O50" s="27"/>
      <c r="P50" s="27"/>
      <c r="Q50" s="27"/>
    </row>
    <row r="51" spans="2:17">
      <c r="B51" s="1012"/>
      <c r="C51" s="1015"/>
      <c r="D51" s="377">
        <v>1</v>
      </c>
      <c r="E51" s="376" t="s">
        <v>228</v>
      </c>
      <c r="F51" s="371">
        <v>0.84</v>
      </c>
      <c r="G51" s="371">
        <v>18746</v>
      </c>
      <c r="H51" s="371">
        <f>25.7/100</f>
        <v>0.25700000000000001</v>
      </c>
      <c r="I51" s="373">
        <v>4.48E-2</v>
      </c>
      <c r="J51" s="371">
        <v>73.33</v>
      </c>
      <c r="K51" s="920">
        <f t="shared" si="1"/>
        <v>13.294766713912319</v>
      </c>
      <c r="L51" s="923">
        <f>K50+K51+K52</f>
        <v>27.929539992142317</v>
      </c>
      <c r="M51" s="244"/>
      <c r="N51" s="1005"/>
      <c r="O51" s="27"/>
      <c r="P51" s="27"/>
      <c r="Q51" s="27"/>
    </row>
    <row r="52" spans="2:17">
      <c r="B52" s="1013"/>
      <c r="C52" s="1016"/>
      <c r="D52" s="377">
        <v>1</v>
      </c>
      <c r="E52" s="371" t="s">
        <v>229</v>
      </c>
      <c r="F52" s="371">
        <v>0.5</v>
      </c>
      <c r="G52" s="371">
        <v>29087</v>
      </c>
      <c r="H52" s="371">
        <v>0.28999999999999998</v>
      </c>
      <c r="I52" s="373">
        <v>4.7310000000000005E-2</v>
      </c>
      <c r="J52" s="371">
        <v>62.44</v>
      </c>
      <c r="K52" s="920">
        <f t="shared" si="1"/>
        <v>12.458988231186</v>
      </c>
      <c r="L52" s="925"/>
      <c r="M52" s="244"/>
      <c r="N52" s="1005"/>
      <c r="O52" s="27"/>
      <c r="P52" s="27"/>
      <c r="Q52" s="27"/>
    </row>
    <row r="53" spans="2:17">
      <c r="B53" s="1054" t="s">
        <v>159</v>
      </c>
      <c r="C53" s="1025">
        <v>0</v>
      </c>
      <c r="D53" s="377">
        <v>69</v>
      </c>
      <c r="E53" s="371" t="s">
        <v>58</v>
      </c>
      <c r="F53" s="371">
        <v>0.76</v>
      </c>
      <c r="G53" s="371">
        <v>1000</v>
      </c>
      <c r="H53" s="371">
        <f>32.1/100</f>
        <v>0.32100000000000001</v>
      </c>
      <c r="I53" s="373">
        <v>4.333E-2</v>
      </c>
      <c r="J53" s="371">
        <v>68.61</v>
      </c>
      <c r="K53" s="920">
        <f t="shared" si="1"/>
        <v>50.043056082012008</v>
      </c>
      <c r="L53" s="939"/>
      <c r="M53" s="244"/>
      <c r="N53" s="1005"/>
      <c r="O53" s="27"/>
      <c r="P53" s="27"/>
      <c r="Q53" s="27"/>
    </row>
    <row r="54" spans="2:17" ht="16.5" customHeight="1">
      <c r="B54" s="1012"/>
      <c r="C54" s="1015"/>
      <c r="D54" s="377">
        <v>535</v>
      </c>
      <c r="E54" s="376" t="s">
        <v>228</v>
      </c>
      <c r="F54" s="371">
        <v>0.84</v>
      </c>
      <c r="G54" s="371">
        <v>18746</v>
      </c>
      <c r="H54" s="371">
        <f>25.7/100</f>
        <v>0.25700000000000001</v>
      </c>
      <c r="I54" s="373">
        <v>4.48E-2</v>
      </c>
      <c r="J54" s="371">
        <v>73.33</v>
      </c>
      <c r="K54" s="920">
        <f t="shared" si="1"/>
        <v>7112.7001919430904</v>
      </c>
      <c r="L54" s="923">
        <f>K53+K54+K55</f>
        <v>7162.7432480251027</v>
      </c>
      <c r="M54" s="244"/>
      <c r="N54" s="1005"/>
      <c r="O54" s="27"/>
      <c r="P54" s="27"/>
      <c r="Q54" s="27"/>
    </row>
    <row r="55" spans="2:17">
      <c r="B55" s="1013"/>
      <c r="C55" s="1016"/>
      <c r="D55" s="377">
        <v>71</v>
      </c>
      <c r="E55" s="376" t="s">
        <v>229</v>
      </c>
      <c r="F55" s="371">
        <v>0.5</v>
      </c>
      <c r="G55" s="371">
        <v>29087</v>
      </c>
      <c r="H55" s="371">
        <v>0</v>
      </c>
      <c r="I55" s="373">
        <v>4.7310000000000005E-2</v>
      </c>
      <c r="J55" s="371">
        <v>62.44</v>
      </c>
      <c r="K55" s="920">
        <f t="shared" si="1"/>
        <v>0</v>
      </c>
      <c r="L55" s="925"/>
      <c r="M55" s="244"/>
      <c r="N55" s="1005"/>
      <c r="O55" s="27"/>
      <c r="P55" s="27"/>
      <c r="Q55" s="27"/>
    </row>
    <row r="56" spans="2:17">
      <c r="B56" s="1057" t="s">
        <v>53</v>
      </c>
      <c r="C56" s="1025">
        <v>1430</v>
      </c>
      <c r="D56" s="377">
        <v>45</v>
      </c>
      <c r="E56" s="371" t="s">
        <v>58</v>
      </c>
      <c r="F56" s="371">
        <v>0.76</v>
      </c>
      <c r="G56" s="371">
        <v>13071</v>
      </c>
      <c r="H56" s="371">
        <f>32.1/100</f>
        <v>0.32100000000000001</v>
      </c>
      <c r="I56" s="373">
        <v>4.333E-2</v>
      </c>
      <c r="J56" s="371">
        <v>68.61</v>
      </c>
      <c r="K56" s="920">
        <f t="shared" si="1"/>
        <v>426.59529524868191</v>
      </c>
      <c r="L56" s="924"/>
      <c r="M56" s="244"/>
      <c r="N56" s="244"/>
      <c r="O56" s="27"/>
      <c r="P56" s="27"/>
      <c r="Q56" s="27"/>
    </row>
    <row r="57" spans="2:17">
      <c r="B57" s="1058"/>
      <c r="C57" s="1015"/>
      <c r="D57" s="375">
        <v>794</v>
      </c>
      <c r="E57" s="376" t="s">
        <v>228</v>
      </c>
      <c r="F57" s="371">
        <v>0.84</v>
      </c>
      <c r="G57" s="371">
        <f>26142/2</f>
        <v>13071</v>
      </c>
      <c r="H57" s="371">
        <f>25.7/100</f>
        <v>0.25700000000000001</v>
      </c>
      <c r="I57" s="373">
        <v>4.48E-2</v>
      </c>
      <c r="J57" s="371">
        <v>73.33</v>
      </c>
      <c r="K57" s="920">
        <f t="shared" si="1"/>
        <v>7360.4001493509568</v>
      </c>
      <c r="L57" s="923">
        <f>K56+K57+K58</f>
        <v>7786.9954445996391</v>
      </c>
      <c r="M57" s="244"/>
      <c r="N57" s="244"/>
      <c r="O57" s="27"/>
      <c r="P57" s="27"/>
      <c r="Q57" s="27"/>
    </row>
    <row r="58" spans="2:17">
      <c r="B58" s="1059"/>
      <c r="C58" s="1016"/>
      <c r="D58" s="375">
        <v>706</v>
      </c>
      <c r="E58" s="376" t="s">
        <v>229</v>
      </c>
      <c r="F58" s="371">
        <v>0.5</v>
      </c>
      <c r="G58" s="371">
        <v>13071</v>
      </c>
      <c r="H58" s="371">
        <v>0</v>
      </c>
      <c r="I58" s="373">
        <v>4.7310000000000005E-2</v>
      </c>
      <c r="J58" s="371">
        <v>62.44</v>
      </c>
      <c r="K58" s="920">
        <f t="shared" si="1"/>
        <v>0</v>
      </c>
      <c r="L58" s="925"/>
      <c r="M58" s="244"/>
      <c r="N58" s="244"/>
      <c r="O58" s="27"/>
      <c r="P58" s="27"/>
      <c r="Q58" s="27"/>
    </row>
    <row r="59" spans="2:17">
      <c r="B59" s="1026" t="s">
        <v>13</v>
      </c>
      <c r="C59" s="1025">
        <f>SUM(C35:C58)</f>
        <v>35263</v>
      </c>
      <c r="D59" s="375">
        <f>D35+D38+D41+D44+D47+D50+D53+D56</f>
        <v>11932</v>
      </c>
      <c r="E59" s="371" t="s">
        <v>58</v>
      </c>
      <c r="F59" s="364"/>
      <c r="G59" s="364"/>
      <c r="H59" s="364"/>
      <c r="I59" s="365"/>
      <c r="J59" s="364"/>
      <c r="K59" s="374">
        <f>K35+K38+K41+K44+K47+K53+K56</f>
        <v>15886.532850221436</v>
      </c>
      <c r="L59" s="1009">
        <f>SUM(K59:K61)</f>
        <v>130478.31214791429</v>
      </c>
      <c r="M59" s="244"/>
      <c r="N59" s="1005"/>
      <c r="O59" s="27"/>
      <c r="P59" s="27"/>
      <c r="Q59" s="27"/>
    </row>
    <row r="60" spans="2:17">
      <c r="B60" s="1026"/>
      <c r="C60" s="1015"/>
      <c r="D60" s="375">
        <f>D36+D39+D42+D45+D48+D51+D54+D57</f>
        <v>11182</v>
      </c>
      <c r="E60" s="376" t="s">
        <v>228</v>
      </c>
      <c r="F60" s="364"/>
      <c r="G60" s="364"/>
      <c r="H60" s="364"/>
      <c r="I60" s="365"/>
      <c r="J60" s="364"/>
      <c r="K60" s="374">
        <f>K36+K39+K42+K45+K48+K54+K57</f>
        <v>70466.943159090617</v>
      </c>
      <c r="L60" s="1009"/>
      <c r="M60" s="244"/>
      <c r="N60" s="1005"/>
      <c r="O60" s="27"/>
      <c r="P60" s="27"/>
      <c r="Q60" s="27"/>
    </row>
    <row r="61" spans="2:17" ht="15.75" thickBot="1">
      <c r="B61" s="1018"/>
      <c r="C61" s="1019"/>
      <c r="D61" s="366">
        <f>D37+D40+D43+D46+D49+D52+D55+D58</f>
        <v>13105</v>
      </c>
      <c r="E61" s="367" t="s">
        <v>229</v>
      </c>
      <c r="F61" s="368"/>
      <c r="G61" s="368"/>
      <c r="H61" s="368"/>
      <c r="I61" s="369"/>
      <c r="J61" s="368"/>
      <c r="K61" s="370">
        <f>K37+K40+K43+K46+K49+K52+K55+K58</f>
        <v>44124.836138602237</v>
      </c>
      <c r="L61" s="1022"/>
      <c r="M61" s="244"/>
      <c r="N61" s="1005"/>
      <c r="O61" s="27"/>
      <c r="P61" s="27"/>
      <c r="Q61" s="27"/>
    </row>
    <row r="62" spans="2:17" s="691" customFormat="1" ht="15.75" thickBot="1">
      <c r="B62" s="609"/>
      <c r="C62" s="686"/>
      <c r="D62" s="686"/>
      <c r="E62" s="687"/>
      <c r="F62" s="688"/>
      <c r="G62" s="688"/>
      <c r="H62" s="688"/>
      <c r="I62" s="689"/>
      <c r="J62" s="688"/>
      <c r="K62" s="690"/>
      <c r="L62" s="690"/>
      <c r="M62" s="608"/>
      <c r="N62" s="608"/>
      <c r="O62" s="197"/>
      <c r="P62" s="197"/>
      <c r="Q62" s="197"/>
    </row>
    <row r="63" spans="2:17" s="691" customFormat="1" ht="19.5" thickBot="1">
      <c r="B63" s="1060" t="s">
        <v>477</v>
      </c>
      <c r="C63" s="1061"/>
      <c r="D63" s="1061"/>
      <c r="E63" s="1061"/>
      <c r="F63" s="1062"/>
      <c r="G63" s="351"/>
      <c r="H63" s="351"/>
      <c r="I63" s="351"/>
      <c r="J63" s="351"/>
      <c r="K63" s="351"/>
      <c r="L63" s="20"/>
      <c r="M63" s="608"/>
      <c r="N63" s="608"/>
      <c r="O63" s="197"/>
      <c r="P63" s="197"/>
      <c r="Q63" s="197"/>
    </row>
    <row r="64" spans="2:17" s="691" customFormat="1">
      <c r="B64" s="692"/>
      <c r="C64" s="1063" t="s">
        <v>57</v>
      </c>
      <c r="D64" s="1064"/>
      <c r="E64" s="1067" t="s">
        <v>223</v>
      </c>
      <c r="F64" s="1069" t="s">
        <v>224</v>
      </c>
      <c r="G64" s="1067" t="s">
        <v>154</v>
      </c>
      <c r="H64" s="1067" t="s">
        <v>225</v>
      </c>
      <c r="I64" s="1069" t="s">
        <v>226</v>
      </c>
      <c r="J64" s="1071" t="s">
        <v>478</v>
      </c>
      <c r="K64" s="1073" t="s">
        <v>476</v>
      </c>
      <c r="L64" s="1055" t="s">
        <v>476</v>
      </c>
      <c r="M64" s="608"/>
      <c r="N64" s="608"/>
      <c r="O64" s="197"/>
      <c r="P64" s="197"/>
      <c r="Q64" s="197"/>
    </row>
    <row r="65" spans="2:17" s="691" customFormat="1">
      <c r="B65" s="693"/>
      <c r="C65" s="1065"/>
      <c r="D65" s="1066"/>
      <c r="E65" s="1068"/>
      <c r="F65" s="1070"/>
      <c r="G65" s="1068"/>
      <c r="H65" s="1068"/>
      <c r="I65" s="1070"/>
      <c r="J65" s="1072"/>
      <c r="K65" s="1074"/>
      <c r="L65" s="1056"/>
      <c r="M65" s="608"/>
      <c r="N65" s="608"/>
      <c r="O65" s="197"/>
      <c r="P65" s="197"/>
      <c r="Q65" s="197"/>
    </row>
    <row r="66" spans="2:17" s="691" customFormat="1">
      <c r="B66" s="997" t="s">
        <v>47</v>
      </c>
      <c r="C66" s="995">
        <f>SUM(D66:D68)</f>
        <v>2531</v>
      </c>
      <c r="D66" s="694">
        <f>INT(D35/Charakterystyka!$Q$9*Charakterystyka!$T$9)</f>
        <v>1709</v>
      </c>
      <c r="E66" s="695" t="s">
        <v>58</v>
      </c>
      <c r="F66" s="696">
        <v>0.755</v>
      </c>
      <c r="G66" s="695">
        <v>7000</v>
      </c>
      <c r="H66" s="697">
        <f>5.23/100</f>
        <v>5.2300000000000006E-2</v>
      </c>
      <c r="I66" s="697">
        <v>4.333E-2</v>
      </c>
      <c r="J66" s="695">
        <v>68.61</v>
      </c>
      <c r="K66" s="932">
        <f>(D66*H66*G66*F66*I66*J66)/1000</f>
        <v>1404.3160245936642</v>
      </c>
      <c r="L66" s="924"/>
      <c r="M66" s="608"/>
      <c r="N66" s="608"/>
      <c r="O66" s="197"/>
      <c r="P66" s="197"/>
      <c r="Q66" s="197"/>
    </row>
    <row r="67" spans="2:17" s="691" customFormat="1">
      <c r="B67" s="998"/>
      <c r="C67" s="995"/>
      <c r="D67" s="694">
        <f>INT(D36/Charakterystyka!$Q$9*Charakterystyka!$T$9)</f>
        <v>14</v>
      </c>
      <c r="E67" s="698" t="s">
        <v>228</v>
      </c>
      <c r="F67" s="695">
        <v>0.84</v>
      </c>
      <c r="G67" s="695">
        <v>7000</v>
      </c>
      <c r="H67" s="695">
        <v>0</v>
      </c>
      <c r="I67" s="697">
        <v>4.48E-2</v>
      </c>
      <c r="J67" s="695">
        <v>73.33</v>
      </c>
      <c r="K67" s="932">
        <f>(D67*H67*G67*F67*I67*J67)/1000</f>
        <v>0</v>
      </c>
      <c r="L67" s="934">
        <f>K66+K67+K68</f>
        <v>1404.3160245936642</v>
      </c>
      <c r="M67" s="608"/>
      <c r="N67" s="608"/>
      <c r="O67" s="197"/>
      <c r="P67" s="197"/>
      <c r="Q67" s="197"/>
    </row>
    <row r="68" spans="2:17" s="691" customFormat="1">
      <c r="B68" s="999"/>
      <c r="C68" s="996"/>
      <c r="D68" s="694">
        <f>INT(D37/Charakterystyka!$Q$9*Charakterystyka!$T$9)</f>
        <v>808</v>
      </c>
      <c r="E68" s="698" t="s">
        <v>229</v>
      </c>
      <c r="F68" s="695">
        <v>0.5</v>
      </c>
      <c r="G68" s="695">
        <v>7000</v>
      </c>
      <c r="H68" s="695">
        <v>0</v>
      </c>
      <c r="I68" s="697">
        <v>4.7310000000000005E-2</v>
      </c>
      <c r="J68" s="695">
        <v>62.44</v>
      </c>
      <c r="K68" s="932">
        <f>(D68*H68*G68*F68*I68*J68)/1000</f>
        <v>0</v>
      </c>
      <c r="L68" s="938"/>
      <c r="M68" s="608"/>
      <c r="N68" s="608"/>
      <c r="O68" s="197"/>
      <c r="P68" s="197"/>
      <c r="Q68" s="197"/>
    </row>
    <row r="69" spans="2:17" s="691" customFormat="1">
      <c r="B69" s="993" t="s">
        <v>156</v>
      </c>
      <c r="C69" s="994">
        <f>SUM(D69:D71)</f>
        <v>26266</v>
      </c>
      <c r="D69" s="694">
        <f>INT(D38/Charakterystyka!$Q$9*Charakterystyka!$T$9)</f>
        <v>9583</v>
      </c>
      <c r="E69" s="695" t="s">
        <v>58</v>
      </c>
      <c r="F69" s="695">
        <v>0.76</v>
      </c>
      <c r="G69" s="695">
        <v>7456</v>
      </c>
      <c r="H69" s="695">
        <f>8.4/100</f>
        <v>8.4000000000000005E-2</v>
      </c>
      <c r="I69" s="697">
        <v>4.333E-2</v>
      </c>
      <c r="J69" s="695">
        <v>68.61</v>
      </c>
      <c r="K69" s="932">
        <f>(D69*H69*G69*F69*I69*J69)/1000</f>
        <v>13560.520956250419</v>
      </c>
      <c r="L69" s="924"/>
      <c r="M69" s="608"/>
      <c r="N69" s="608"/>
      <c r="O69" s="197"/>
      <c r="P69" s="197"/>
      <c r="Q69" s="197"/>
    </row>
    <row r="70" spans="2:17" s="691" customFormat="1">
      <c r="B70" s="993"/>
      <c r="C70" s="995"/>
      <c r="D70" s="694">
        <f>INT(D39/Charakterystyka!$Q$9*Charakterystyka!$T$9)</f>
        <v>6903</v>
      </c>
      <c r="E70" s="698" t="s">
        <v>228</v>
      </c>
      <c r="F70" s="695">
        <v>0.84</v>
      </c>
      <c r="G70" s="695">
        <v>13282</v>
      </c>
      <c r="H70" s="695">
        <f>7.3/100</f>
        <v>7.2999999999999995E-2</v>
      </c>
      <c r="I70" s="697">
        <v>4.48E-2</v>
      </c>
      <c r="J70" s="695">
        <v>73.33</v>
      </c>
      <c r="K70" s="932">
        <f t="shared" ref="K70:K86" si="2">(D70*H70*G70*F70*I70*J70)/1000</f>
        <v>18469.842602926739</v>
      </c>
      <c r="L70" s="934">
        <f>K69+K70+K71</f>
        <v>55526.294312046957</v>
      </c>
      <c r="M70" s="608"/>
      <c r="N70" s="608"/>
      <c r="O70" s="197"/>
      <c r="P70" s="197"/>
      <c r="Q70" s="197"/>
    </row>
    <row r="71" spans="2:17" s="691" customFormat="1">
      <c r="B71" s="993"/>
      <c r="C71" s="996"/>
      <c r="D71" s="694">
        <f>INT(D40/Charakterystyka!$Q$9*Charakterystyka!$T$9)</f>
        <v>9780</v>
      </c>
      <c r="E71" s="698" t="s">
        <v>229</v>
      </c>
      <c r="F71" s="695">
        <v>0.5</v>
      </c>
      <c r="G71" s="695">
        <v>14268</v>
      </c>
      <c r="H71" s="695">
        <f>11.4/100</f>
        <v>0.114</v>
      </c>
      <c r="I71" s="697">
        <v>4.7310000000000005E-2</v>
      </c>
      <c r="J71" s="695">
        <v>62.44</v>
      </c>
      <c r="K71" s="932">
        <f t="shared" si="2"/>
        <v>23495.930752869797</v>
      </c>
      <c r="L71" s="938"/>
      <c r="M71" s="608"/>
      <c r="N71" s="608"/>
      <c r="O71" s="197"/>
      <c r="P71" s="197"/>
      <c r="Q71" s="197"/>
    </row>
    <row r="72" spans="2:17" s="691" customFormat="1">
      <c r="B72" s="993" t="s">
        <v>157</v>
      </c>
      <c r="C72" s="994">
        <f>SUM(D72:D74)</f>
        <v>4563</v>
      </c>
      <c r="D72" s="694">
        <f>INT(D41/Charakterystyka!$Q$9*Charakterystyka!$T$9)</f>
        <v>431</v>
      </c>
      <c r="E72" s="698" t="s">
        <v>58</v>
      </c>
      <c r="F72" s="695">
        <v>0.76</v>
      </c>
      <c r="G72" s="695">
        <v>1000</v>
      </c>
      <c r="H72" s="695">
        <f>32.1/100</f>
        <v>0.32100000000000001</v>
      </c>
      <c r="I72" s="697">
        <v>4.333E-2</v>
      </c>
      <c r="J72" s="695">
        <v>68.61</v>
      </c>
      <c r="K72" s="932">
        <f t="shared" si="2"/>
        <v>312.587785091988</v>
      </c>
      <c r="L72" s="921"/>
      <c r="M72" s="608"/>
      <c r="N72" s="608"/>
      <c r="O72" s="197"/>
      <c r="P72" s="197"/>
      <c r="Q72" s="197"/>
    </row>
    <row r="73" spans="2:17" s="691" customFormat="1">
      <c r="B73" s="993"/>
      <c r="C73" s="995"/>
      <c r="D73" s="694">
        <f>INT(D42/Charakterystyka!$Q$9*Charakterystyka!$T$9)</f>
        <v>2577</v>
      </c>
      <c r="E73" s="698" t="s">
        <v>228</v>
      </c>
      <c r="F73" s="695">
        <v>0.84</v>
      </c>
      <c r="G73" s="695">
        <v>18746</v>
      </c>
      <c r="H73" s="695">
        <f>25.7/100</f>
        <v>0.25700000000000001</v>
      </c>
      <c r="I73" s="697">
        <v>4.48E-2</v>
      </c>
      <c r="J73" s="695">
        <v>73.33</v>
      </c>
      <c r="K73" s="932">
        <f t="shared" si="2"/>
        <v>34260.613821752049</v>
      </c>
      <c r="L73" s="934">
        <f>K72+K73+K74</f>
        <v>53946.928306338261</v>
      </c>
      <c r="M73" s="608"/>
      <c r="N73" s="608"/>
      <c r="O73" s="197"/>
      <c r="P73" s="197"/>
      <c r="Q73" s="197"/>
    </row>
    <row r="74" spans="2:17" s="691" customFormat="1">
      <c r="B74" s="993"/>
      <c r="C74" s="996"/>
      <c r="D74" s="694">
        <f>INT(D43/Charakterystyka!$Q$9*Charakterystyka!$T$9)</f>
        <v>1555</v>
      </c>
      <c r="E74" s="695" t="s">
        <v>229</v>
      </c>
      <c r="F74" s="695">
        <v>0.5</v>
      </c>
      <c r="G74" s="695">
        <v>29087</v>
      </c>
      <c r="H74" s="695">
        <v>0.28999999999999998</v>
      </c>
      <c r="I74" s="697">
        <v>4.7309999999999998E-2</v>
      </c>
      <c r="J74" s="695">
        <v>62.44</v>
      </c>
      <c r="K74" s="932">
        <f t="shared" si="2"/>
        <v>19373.726699494229</v>
      </c>
      <c r="L74" s="931"/>
      <c r="M74" s="608"/>
      <c r="N74" s="608"/>
      <c r="O74" s="197"/>
      <c r="P74" s="197"/>
      <c r="Q74" s="197"/>
    </row>
    <row r="75" spans="2:17" s="691" customFormat="1">
      <c r="B75" s="997" t="s">
        <v>59</v>
      </c>
      <c r="C75" s="994">
        <f>SUM(D75:D77)</f>
        <v>241</v>
      </c>
      <c r="D75" s="694">
        <f>INT(D44/Charakterystyka!$Q$9*Charakterystyka!$T$9)</f>
        <v>0</v>
      </c>
      <c r="E75" s="695" t="s">
        <v>58</v>
      </c>
      <c r="F75" s="695">
        <v>0.76</v>
      </c>
      <c r="G75" s="695">
        <v>1000</v>
      </c>
      <c r="H75" s="695">
        <f>32.1/100</f>
        <v>0.32100000000000001</v>
      </c>
      <c r="I75" s="697">
        <v>4.333E-2</v>
      </c>
      <c r="J75" s="695">
        <v>68.61</v>
      </c>
      <c r="K75" s="932">
        <f t="shared" si="2"/>
        <v>0</v>
      </c>
      <c r="L75" s="924"/>
      <c r="M75" s="608"/>
      <c r="N75" s="608"/>
      <c r="O75" s="197"/>
      <c r="P75" s="197"/>
      <c r="Q75" s="197"/>
    </row>
    <row r="76" spans="2:17" s="691" customFormat="1">
      <c r="B76" s="998"/>
      <c r="C76" s="995"/>
      <c r="D76" s="694">
        <f>INT(D45/Charakterystyka!$Q$9*Charakterystyka!$T$9)</f>
        <v>175</v>
      </c>
      <c r="E76" s="698" t="s">
        <v>228</v>
      </c>
      <c r="F76" s="695">
        <v>0.84</v>
      </c>
      <c r="G76" s="695">
        <v>18746</v>
      </c>
      <c r="H76" s="695">
        <f>25.7/100</f>
        <v>0.25700000000000001</v>
      </c>
      <c r="I76" s="697">
        <v>4.48E-2</v>
      </c>
      <c r="J76" s="695">
        <v>73.33</v>
      </c>
      <c r="K76" s="932">
        <f t="shared" si="2"/>
        <v>2326.5841749346559</v>
      </c>
      <c r="L76" s="934">
        <f>K75+K76+K77</f>
        <v>3148.8773981929317</v>
      </c>
      <c r="M76" s="608"/>
      <c r="N76" s="608"/>
      <c r="O76" s="197"/>
      <c r="P76" s="197"/>
      <c r="Q76" s="197"/>
    </row>
    <row r="77" spans="2:17" s="691" customFormat="1">
      <c r="B77" s="999"/>
      <c r="C77" s="996"/>
      <c r="D77" s="694">
        <f>INT(D46/Charakterystyka!$Q$9*Charakterystyka!$T$9)</f>
        <v>66</v>
      </c>
      <c r="E77" s="698" t="s">
        <v>229</v>
      </c>
      <c r="F77" s="695">
        <v>0.5</v>
      </c>
      <c r="G77" s="695">
        <v>29087</v>
      </c>
      <c r="H77" s="695">
        <v>0.28999999999999998</v>
      </c>
      <c r="I77" s="697">
        <v>4.7310000000000005E-2</v>
      </c>
      <c r="J77" s="695">
        <v>62.44</v>
      </c>
      <c r="K77" s="932">
        <f t="shared" si="2"/>
        <v>822.29322325827593</v>
      </c>
      <c r="L77" s="938"/>
      <c r="M77" s="608"/>
      <c r="N77" s="608"/>
      <c r="O77" s="197"/>
      <c r="P77" s="197"/>
      <c r="Q77" s="197"/>
    </row>
    <row r="78" spans="2:17" s="691" customFormat="1">
      <c r="B78" s="1002" t="s">
        <v>158</v>
      </c>
      <c r="C78" s="994">
        <f>SUM(D78:D80)</f>
        <v>169</v>
      </c>
      <c r="D78" s="694">
        <f>INT(D47/Charakterystyka!$Q$9*Charakterystyka!$T$9)</f>
        <v>14</v>
      </c>
      <c r="E78" s="695" t="s">
        <v>58</v>
      </c>
      <c r="F78" s="695">
        <v>0.76</v>
      </c>
      <c r="G78" s="695">
        <v>9677</v>
      </c>
      <c r="H78" s="695">
        <f>10/100</f>
        <v>0.1</v>
      </c>
      <c r="I78" s="697">
        <v>4.333E-2</v>
      </c>
      <c r="J78" s="695">
        <v>68.61</v>
      </c>
      <c r="K78" s="932">
        <f t="shared" si="2"/>
        <v>30.609658006586404</v>
      </c>
      <c r="L78" s="924"/>
      <c r="M78" s="608"/>
      <c r="N78" s="608"/>
      <c r="O78" s="197"/>
      <c r="P78" s="197"/>
      <c r="Q78" s="197"/>
    </row>
    <row r="79" spans="2:17" s="691" customFormat="1">
      <c r="B79" s="1003"/>
      <c r="C79" s="995"/>
      <c r="D79" s="694">
        <f>INT(D48/Charakterystyka!$Q$9*Charakterystyka!$T$9)</f>
        <v>118</v>
      </c>
      <c r="E79" s="698" t="s">
        <v>228</v>
      </c>
      <c r="F79" s="695">
        <v>0.84</v>
      </c>
      <c r="G79" s="695">
        <v>15682</v>
      </c>
      <c r="H79" s="695">
        <f>11/100</f>
        <v>0.11</v>
      </c>
      <c r="I79" s="697">
        <v>4.48E-2</v>
      </c>
      <c r="J79" s="695">
        <v>73.33</v>
      </c>
      <c r="K79" s="932">
        <f t="shared" si="2"/>
        <v>561.71384323676159</v>
      </c>
      <c r="L79" s="934">
        <f>K78+K79+K80</f>
        <v>720.87264900176399</v>
      </c>
      <c r="M79" s="608"/>
      <c r="N79" s="608"/>
      <c r="O79" s="197"/>
      <c r="P79" s="197"/>
      <c r="Q79" s="197"/>
    </row>
    <row r="80" spans="2:17" s="691" customFormat="1">
      <c r="B80" s="1004"/>
      <c r="C80" s="996"/>
      <c r="D80" s="694">
        <f>INT(D49/Charakterystyka!$Q$9*Charakterystyka!$T$9)</f>
        <v>37</v>
      </c>
      <c r="E80" s="698" t="s">
        <v>229</v>
      </c>
      <c r="F80" s="695">
        <v>0.5</v>
      </c>
      <c r="G80" s="695">
        <v>17424</v>
      </c>
      <c r="H80" s="695">
        <f>13.5/100</f>
        <v>0.13500000000000001</v>
      </c>
      <c r="I80" s="697">
        <v>4.7310000000000005E-2</v>
      </c>
      <c r="J80" s="695">
        <v>62.44</v>
      </c>
      <c r="K80" s="932">
        <f t="shared" si="2"/>
        <v>128.54914775841601</v>
      </c>
      <c r="L80" s="938"/>
      <c r="M80" s="608"/>
      <c r="N80" s="608"/>
      <c r="O80" s="197"/>
      <c r="P80" s="197"/>
      <c r="Q80" s="197"/>
    </row>
    <row r="81" spans="2:17" s="691" customFormat="1">
      <c r="B81" s="1002" t="s">
        <v>159</v>
      </c>
      <c r="C81" s="994">
        <f>SUM(D81:D83)</f>
        <v>2</v>
      </c>
      <c r="D81" s="694">
        <f>INT(D50/Charakterystyka!$Q$9*Charakterystyka!$T$9)</f>
        <v>2</v>
      </c>
      <c r="E81" s="695" t="s">
        <v>58</v>
      </c>
      <c r="F81" s="695">
        <v>0.76</v>
      </c>
      <c r="G81" s="695">
        <v>1000</v>
      </c>
      <c r="H81" s="695">
        <f>32.1/100</f>
        <v>0.32100000000000001</v>
      </c>
      <c r="I81" s="697">
        <v>4.333E-2</v>
      </c>
      <c r="J81" s="695">
        <v>68.61</v>
      </c>
      <c r="K81" s="932">
        <f t="shared" si="2"/>
        <v>1.4505233646960001</v>
      </c>
      <c r="L81" s="935"/>
      <c r="M81" s="608"/>
      <c r="N81" s="608"/>
      <c r="O81" s="197"/>
      <c r="P81" s="197"/>
      <c r="Q81" s="197"/>
    </row>
    <row r="82" spans="2:17" s="691" customFormat="1">
      <c r="B82" s="1003"/>
      <c r="C82" s="995"/>
      <c r="D82" s="694">
        <f>INT(D51/Charakterystyka!$Q$9*Charakterystyka!$T$9)</f>
        <v>0</v>
      </c>
      <c r="E82" s="698" t="s">
        <v>228</v>
      </c>
      <c r="F82" s="695">
        <v>0.84</v>
      </c>
      <c r="G82" s="695">
        <v>18746</v>
      </c>
      <c r="H82" s="695">
        <f>25.7/100</f>
        <v>0.25700000000000001</v>
      </c>
      <c r="I82" s="697">
        <v>4.48E-2</v>
      </c>
      <c r="J82" s="695">
        <v>73.33</v>
      </c>
      <c r="K82" s="932">
        <f t="shared" si="2"/>
        <v>0</v>
      </c>
      <c r="L82" s="936">
        <f>K82+K83+K84</f>
        <v>644.6328905980082</v>
      </c>
      <c r="M82" s="608"/>
      <c r="N82" s="608"/>
      <c r="O82" s="197"/>
      <c r="P82" s="197"/>
      <c r="Q82" s="197"/>
    </row>
    <row r="83" spans="2:17" s="691" customFormat="1">
      <c r="B83" s="1004"/>
      <c r="C83" s="996"/>
      <c r="D83" s="694">
        <f>INT(D52/Charakterystyka!$Q$9*Charakterystyka!$T$9)</f>
        <v>0</v>
      </c>
      <c r="E83" s="698" t="s">
        <v>229</v>
      </c>
      <c r="F83" s="695">
        <v>0.5</v>
      </c>
      <c r="G83" s="695">
        <v>29087</v>
      </c>
      <c r="H83" s="695">
        <v>0</v>
      </c>
      <c r="I83" s="697">
        <v>4.7310000000000005E-2</v>
      </c>
      <c r="J83" s="695">
        <v>62.44</v>
      </c>
      <c r="K83" s="932">
        <f t="shared" si="2"/>
        <v>0</v>
      </c>
      <c r="L83" s="937"/>
      <c r="M83" s="608"/>
      <c r="N83" s="608"/>
      <c r="O83" s="197"/>
      <c r="P83" s="197"/>
      <c r="Q83" s="197"/>
    </row>
    <row r="84" spans="2:17" s="691" customFormat="1">
      <c r="B84" s="1002" t="s">
        <v>53</v>
      </c>
      <c r="C84" s="994">
        <f>SUM(D84:D86)</f>
        <v>669</v>
      </c>
      <c r="D84" s="694">
        <f>INT(D53/Charakterystyka!$Q$9*Charakterystyka!$T$9)</f>
        <v>68</v>
      </c>
      <c r="E84" s="695" t="s">
        <v>58</v>
      </c>
      <c r="F84" s="695">
        <v>0.76</v>
      </c>
      <c r="G84" s="695">
        <v>13071</v>
      </c>
      <c r="H84" s="695">
        <f>32.1/100</f>
        <v>0.32100000000000001</v>
      </c>
      <c r="I84" s="697">
        <v>4.333E-2</v>
      </c>
      <c r="J84" s="695">
        <v>68.61</v>
      </c>
      <c r="K84" s="932">
        <f t="shared" si="2"/>
        <v>644.6328905980082</v>
      </c>
      <c r="L84" s="921"/>
      <c r="M84" s="608"/>
      <c r="N84" s="608"/>
      <c r="O84" s="197"/>
      <c r="P84" s="197"/>
      <c r="Q84" s="197"/>
    </row>
    <row r="85" spans="2:17" s="691" customFormat="1">
      <c r="B85" s="1003"/>
      <c r="C85" s="995"/>
      <c r="D85" s="694">
        <f>INT(D54/Charakterystyka!$Q$9*Charakterystyka!$T$9)</f>
        <v>531</v>
      </c>
      <c r="E85" s="698" t="s">
        <v>228</v>
      </c>
      <c r="F85" s="695">
        <v>0.84</v>
      </c>
      <c r="G85" s="695">
        <f>26142/2</f>
        <v>13071</v>
      </c>
      <c r="H85" s="695">
        <f>25.7/100</f>
        <v>0.25700000000000001</v>
      </c>
      <c r="I85" s="697">
        <v>4.48E-2</v>
      </c>
      <c r="J85" s="695">
        <v>73.33</v>
      </c>
      <c r="K85" s="932">
        <f t="shared" si="2"/>
        <v>4922.3834751956656</v>
      </c>
      <c r="L85" s="934">
        <f>K84+K85+K86</f>
        <v>5567.0163657936737</v>
      </c>
      <c r="M85" s="608"/>
      <c r="N85" s="608"/>
      <c r="O85" s="197"/>
      <c r="P85" s="197"/>
      <c r="Q85" s="197"/>
    </row>
    <row r="86" spans="2:17" s="691" customFormat="1">
      <c r="B86" s="1004"/>
      <c r="C86" s="996"/>
      <c r="D86" s="694">
        <f>INT(D55/Charakterystyka!$Q$9*Charakterystyka!$T$9)</f>
        <v>70</v>
      </c>
      <c r="E86" s="698" t="s">
        <v>229</v>
      </c>
      <c r="F86" s="695">
        <v>0.5</v>
      </c>
      <c r="G86" s="695">
        <v>13071</v>
      </c>
      <c r="H86" s="695">
        <v>0</v>
      </c>
      <c r="I86" s="697">
        <v>4.7310000000000005E-2</v>
      </c>
      <c r="J86" s="695">
        <v>62.44</v>
      </c>
      <c r="K86" s="932">
        <f t="shared" si="2"/>
        <v>0</v>
      </c>
      <c r="L86" s="931"/>
      <c r="M86" s="608"/>
      <c r="N86" s="608"/>
      <c r="O86" s="197"/>
      <c r="P86" s="197"/>
      <c r="Q86" s="197"/>
    </row>
    <row r="87" spans="2:17" s="691" customFormat="1">
      <c r="B87" s="993" t="s">
        <v>13</v>
      </c>
      <c r="C87" s="994">
        <f>SUM(C66:C86)</f>
        <v>34441</v>
      </c>
      <c r="D87" s="699">
        <f>D66+D69+D72+D75+D78+D81+D84</f>
        <v>11807</v>
      </c>
      <c r="E87" s="695" t="s">
        <v>58</v>
      </c>
      <c r="F87" s="700"/>
      <c r="G87" s="700"/>
      <c r="H87" s="700"/>
      <c r="I87" s="701"/>
      <c r="J87" s="700"/>
      <c r="K87" s="932">
        <f>K66+K69+K72+K75+K78+K81+K84</f>
        <v>15954.117837905362</v>
      </c>
      <c r="L87" s="921"/>
      <c r="M87" s="608"/>
      <c r="N87" s="608"/>
      <c r="O87" s="197"/>
      <c r="P87" s="197"/>
      <c r="Q87" s="197"/>
    </row>
    <row r="88" spans="2:17" s="691" customFormat="1">
      <c r="B88" s="993"/>
      <c r="C88" s="995"/>
      <c r="D88" s="699">
        <f>D67+D70+D73+D76+D79+D82+D85</f>
        <v>10318</v>
      </c>
      <c r="E88" s="698" t="s">
        <v>228</v>
      </c>
      <c r="F88" s="700"/>
      <c r="G88" s="700"/>
      <c r="H88" s="700"/>
      <c r="I88" s="701"/>
      <c r="J88" s="700"/>
      <c r="K88" s="932">
        <f>K67+K70+K73+K76+K79+K82+K85</f>
        <v>60541.137918045883</v>
      </c>
      <c r="L88" s="934">
        <f>SUM(K87:K89)</f>
        <v>120315.75557933198</v>
      </c>
      <c r="M88" s="608"/>
      <c r="N88" s="608"/>
      <c r="O88" s="197"/>
      <c r="P88" s="197"/>
      <c r="Q88" s="197"/>
    </row>
    <row r="89" spans="2:17" s="691" customFormat="1" ht="15.75" thickBot="1">
      <c r="B89" s="1000"/>
      <c r="C89" s="1001"/>
      <c r="D89" s="702">
        <f>D68+D71+D74+D77+D80+D83+D86</f>
        <v>12316</v>
      </c>
      <c r="E89" s="703" t="s">
        <v>229</v>
      </c>
      <c r="F89" s="704"/>
      <c r="G89" s="704"/>
      <c r="H89" s="704"/>
      <c r="I89" s="705"/>
      <c r="J89" s="704"/>
      <c r="K89" s="933">
        <f>K68+K71+K74+K77+K80+K83+K86</f>
        <v>43820.49982338072</v>
      </c>
      <c r="L89" s="931"/>
      <c r="M89" s="608"/>
      <c r="N89" s="608"/>
      <c r="O89" s="197"/>
      <c r="P89" s="197"/>
      <c r="Q89" s="197"/>
    </row>
    <row r="90" spans="2:17" s="691" customFormat="1" ht="15.75" thickBot="1">
      <c r="B90" s="609"/>
      <c r="C90" s="686"/>
      <c r="D90" s="686"/>
      <c r="E90" s="687"/>
      <c r="F90" s="688"/>
      <c r="G90" s="688"/>
      <c r="H90" s="688"/>
      <c r="I90" s="689"/>
      <c r="J90" s="688"/>
      <c r="K90" s="690"/>
      <c r="L90" s="690"/>
      <c r="M90" s="608"/>
      <c r="N90" s="608"/>
      <c r="O90" s="197"/>
      <c r="P90" s="197"/>
      <c r="Q90" s="197"/>
    </row>
    <row r="91" spans="2:17" ht="19.5" thickBot="1">
      <c r="B91" s="1048" t="s">
        <v>160</v>
      </c>
      <c r="C91" s="1049"/>
      <c r="D91" s="1049"/>
      <c r="E91" s="1049"/>
      <c r="F91" s="1050"/>
      <c r="G91" s="351"/>
      <c r="H91" s="351"/>
      <c r="I91" s="351"/>
      <c r="J91" s="351"/>
      <c r="K91" s="351"/>
      <c r="L91" s="20"/>
      <c r="M91" s="244"/>
      <c r="N91" s="1005"/>
      <c r="O91" s="27"/>
      <c r="P91" s="27"/>
      <c r="Q91" s="27"/>
    </row>
    <row r="92" spans="2:17">
      <c r="B92" s="353"/>
      <c r="C92" s="1037" t="s">
        <v>57</v>
      </c>
      <c r="D92" s="1038"/>
      <c r="E92" s="1041" t="s">
        <v>223</v>
      </c>
      <c r="F92" s="1043" t="s">
        <v>224</v>
      </c>
      <c r="G92" s="1041" t="s">
        <v>154</v>
      </c>
      <c r="H92" s="1041" t="s">
        <v>225</v>
      </c>
      <c r="I92" s="1043" t="s">
        <v>226</v>
      </c>
      <c r="J92" s="1045" t="s">
        <v>227</v>
      </c>
      <c r="K92" s="1032" t="s">
        <v>155</v>
      </c>
      <c r="L92" s="1023" t="s">
        <v>24</v>
      </c>
      <c r="M92" s="244"/>
      <c r="N92" s="1005"/>
      <c r="O92" s="27"/>
      <c r="P92" s="27"/>
      <c r="Q92" s="27"/>
    </row>
    <row r="93" spans="2:17">
      <c r="B93" s="354"/>
      <c r="C93" s="1039"/>
      <c r="D93" s="1040"/>
      <c r="E93" s="1053"/>
      <c r="F93" s="1044"/>
      <c r="G93" s="1053"/>
      <c r="H93" s="1053"/>
      <c r="I93" s="1044"/>
      <c r="J93" s="1046"/>
      <c r="K93" s="1033"/>
      <c r="L93" s="1024"/>
      <c r="M93" s="197"/>
      <c r="N93" s="197"/>
      <c r="O93" s="27"/>
      <c r="P93" s="27"/>
      <c r="Q93" s="27"/>
    </row>
    <row r="94" spans="2:17" ht="18.75">
      <c r="B94" s="1027" t="s">
        <v>47</v>
      </c>
      <c r="C94" s="1015">
        <f>D94+D95+D96</f>
        <v>2411</v>
      </c>
      <c r="D94" s="378">
        <f>INT((D35/[1]Charakterystyka!$O$9)*[1]Charakterystyka!$AD$9)</f>
        <v>1627</v>
      </c>
      <c r="E94" s="371" t="s">
        <v>58</v>
      </c>
      <c r="F94" s="372">
        <v>0.755</v>
      </c>
      <c r="G94" s="371">
        <v>7000</v>
      </c>
      <c r="H94" s="373">
        <f>5.23/100</f>
        <v>5.2300000000000006E-2</v>
      </c>
      <c r="I94" s="373">
        <v>4.333E-2</v>
      </c>
      <c r="J94" s="371">
        <v>68.61</v>
      </c>
      <c r="K94" s="920">
        <f>(D94*H94*G94*F94*I94*J94)/1000</f>
        <v>1336.9351503884684</v>
      </c>
      <c r="L94" s="924"/>
      <c r="M94" s="196"/>
      <c r="N94" s="292"/>
      <c r="O94" s="27"/>
      <c r="P94" s="27"/>
      <c r="Q94" s="27"/>
    </row>
    <row r="95" spans="2:17">
      <c r="B95" s="1028"/>
      <c r="C95" s="1015"/>
      <c r="D95" s="378">
        <f>INT((D36/[1]Charakterystyka!$O$9)*[1]Charakterystyka!$AD$9)</f>
        <v>14</v>
      </c>
      <c r="E95" s="376" t="s">
        <v>228</v>
      </c>
      <c r="F95" s="371">
        <v>0.84</v>
      </c>
      <c r="G95" s="371">
        <v>7000</v>
      </c>
      <c r="H95" s="371">
        <v>0</v>
      </c>
      <c r="I95" s="373">
        <v>4.48E-2</v>
      </c>
      <c r="J95" s="371">
        <v>73.33</v>
      </c>
      <c r="K95" s="920">
        <f>(D95*H95*G95*F95*I95*J95)/1000</f>
        <v>0</v>
      </c>
      <c r="L95" s="927">
        <f>K94+K95+K96</f>
        <v>1336.9351503884684</v>
      </c>
      <c r="M95" s="1007"/>
      <c r="N95" s="1007"/>
      <c r="O95" s="27"/>
      <c r="P95" s="27"/>
      <c r="Q95" s="27"/>
    </row>
    <row r="96" spans="2:17" ht="12" customHeight="1">
      <c r="B96" s="1029"/>
      <c r="C96" s="1016"/>
      <c r="D96" s="378">
        <f>INT((D37/[1]Charakterystyka!$O$9)*[1]Charakterystyka!$AD$9)</f>
        <v>770</v>
      </c>
      <c r="E96" s="376" t="s">
        <v>229</v>
      </c>
      <c r="F96" s="371">
        <v>0.5</v>
      </c>
      <c r="G96" s="371">
        <v>7000</v>
      </c>
      <c r="H96" s="371">
        <v>0</v>
      </c>
      <c r="I96" s="373">
        <v>4.7310000000000005E-2</v>
      </c>
      <c r="J96" s="371">
        <v>62.44</v>
      </c>
      <c r="K96" s="920">
        <f>(D96*H96*G96*F96*I96*J96)/1000</f>
        <v>0</v>
      </c>
      <c r="L96" s="928"/>
      <c r="M96" s="1007"/>
      <c r="N96" s="1007"/>
      <c r="O96" s="27"/>
      <c r="P96" s="27"/>
      <c r="Q96" s="27"/>
    </row>
    <row r="97" spans="2:17">
      <c r="B97" s="1026" t="s">
        <v>156</v>
      </c>
      <c r="C97" s="1015">
        <f>D97+D98+D99</f>
        <v>25008</v>
      </c>
      <c r="D97" s="378">
        <f>INT((D38/[1]Charakterystyka!$O$9)*[1]Charakterystyka!$AD$9)</f>
        <v>9124</v>
      </c>
      <c r="E97" s="371" t="s">
        <v>58</v>
      </c>
      <c r="F97" s="371">
        <v>0.76</v>
      </c>
      <c r="G97" s="371">
        <v>7456</v>
      </c>
      <c r="H97" s="371">
        <f>8.4/100</f>
        <v>8.4000000000000005E-2</v>
      </c>
      <c r="I97" s="373">
        <v>4.333E-2</v>
      </c>
      <c r="J97" s="371">
        <v>68.61</v>
      </c>
      <c r="K97" s="374">
        <f>(D97*H97*G97*F97*I97*J97)/1000</f>
        <v>12911.008369490641</v>
      </c>
      <c r="L97" s="929"/>
      <c r="M97" s="244"/>
      <c r="N97" s="1005"/>
      <c r="O97" s="27"/>
      <c r="P97" s="27"/>
      <c r="Q97" s="27"/>
    </row>
    <row r="98" spans="2:17">
      <c r="B98" s="1026"/>
      <c r="C98" s="1015"/>
      <c r="D98" s="378">
        <f>INT((D39/[1]Charakterystyka!$O$9)*[1]Charakterystyka!$AD$9)</f>
        <v>6572</v>
      </c>
      <c r="E98" s="376" t="s">
        <v>228</v>
      </c>
      <c r="F98" s="371">
        <v>0.84</v>
      </c>
      <c r="G98" s="371">
        <v>13282</v>
      </c>
      <c r="H98" s="371">
        <f>7.3/100</f>
        <v>7.2999999999999995E-2</v>
      </c>
      <c r="I98" s="373">
        <v>4.48E-2</v>
      </c>
      <c r="J98" s="371">
        <v>73.33</v>
      </c>
      <c r="K98" s="374">
        <f t="shared" ref="K98:K117" si="3">(D98*H98*G98*F98*I98*J98)/1000</f>
        <v>17584.210573147113</v>
      </c>
      <c r="L98" s="930">
        <f>K97+K98+K99</f>
        <v>52866.80454291623</v>
      </c>
      <c r="M98" s="244"/>
      <c r="N98" s="1005"/>
      <c r="O98" s="27"/>
      <c r="P98" s="27"/>
      <c r="Q98" s="27"/>
    </row>
    <row r="99" spans="2:17">
      <c r="B99" s="1026"/>
      <c r="C99" s="1016"/>
      <c r="D99" s="378">
        <f>INT((D40/[1]Charakterystyka!$O$9)*[1]Charakterystyka!$AD$9)</f>
        <v>9312</v>
      </c>
      <c r="E99" s="376" t="s">
        <v>229</v>
      </c>
      <c r="F99" s="371">
        <v>0.5</v>
      </c>
      <c r="G99" s="371">
        <v>14268</v>
      </c>
      <c r="H99" s="371">
        <f>11.4/100</f>
        <v>0.114</v>
      </c>
      <c r="I99" s="373">
        <v>4.7310000000000005E-2</v>
      </c>
      <c r="J99" s="371">
        <v>62.44</v>
      </c>
      <c r="K99" s="374">
        <f t="shared" si="3"/>
        <v>22371.585600278479</v>
      </c>
      <c r="L99" s="930"/>
      <c r="M99" s="244"/>
      <c r="N99" s="1005"/>
      <c r="O99" s="27"/>
      <c r="P99" s="27"/>
      <c r="Q99" s="27"/>
    </row>
    <row r="100" spans="2:17">
      <c r="B100" s="1026" t="s">
        <v>157</v>
      </c>
      <c r="C100" s="1015">
        <f>D100+D101+D102</f>
        <v>4344</v>
      </c>
      <c r="D100" s="378">
        <f>INT((D41/[1]Charakterystyka!$O$9)*[1]Charakterystyka!$AD$9)</f>
        <v>410</v>
      </c>
      <c r="E100" s="376" t="s">
        <v>58</v>
      </c>
      <c r="F100" s="371">
        <v>0.76</v>
      </c>
      <c r="G100" s="371">
        <v>1000</v>
      </c>
      <c r="H100" s="371">
        <f>32.1/100</f>
        <v>0.32100000000000001</v>
      </c>
      <c r="I100" s="373">
        <v>4.333E-2</v>
      </c>
      <c r="J100" s="371">
        <v>68.61</v>
      </c>
      <c r="K100" s="920">
        <f t="shared" si="3"/>
        <v>297.35728976268007</v>
      </c>
      <c r="L100" s="924"/>
      <c r="M100" s="244"/>
      <c r="N100" s="1005"/>
      <c r="O100" s="27"/>
      <c r="P100" s="27"/>
      <c r="Q100" s="27"/>
    </row>
    <row r="101" spans="2:17">
      <c r="B101" s="1026"/>
      <c r="C101" s="1015"/>
      <c r="D101" s="378">
        <f>INT((D42/[1]Charakterystyka!$O$9)*[1]Charakterystyka!$AD$9)</f>
        <v>2454</v>
      </c>
      <c r="E101" s="376" t="s">
        <v>228</v>
      </c>
      <c r="F101" s="371">
        <v>0.84</v>
      </c>
      <c r="G101" s="371">
        <v>18746</v>
      </c>
      <c r="H101" s="371">
        <f>25.7/100</f>
        <v>0.25700000000000001</v>
      </c>
      <c r="I101" s="373">
        <v>4.48E-2</v>
      </c>
      <c r="J101" s="371">
        <v>73.33</v>
      </c>
      <c r="K101" s="920">
        <f t="shared" si="3"/>
        <v>32625.357515940828</v>
      </c>
      <c r="L101" s="923">
        <f>K100+K101+K102</f>
        <v>51362.017387858781</v>
      </c>
      <c r="M101" s="244"/>
      <c r="N101" s="1005"/>
      <c r="O101" s="27"/>
      <c r="P101" s="27"/>
      <c r="Q101" s="27"/>
    </row>
    <row r="102" spans="2:17">
      <c r="B102" s="1026"/>
      <c r="C102" s="1016"/>
      <c r="D102" s="378">
        <f>INT((D43/[1]Charakterystyka!$O$9)*[1]Charakterystyka!$AD$9)</f>
        <v>1480</v>
      </c>
      <c r="E102" s="371" t="s">
        <v>229</v>
      </c>
      <c r="F102" s="371">
        <v>0.5</v>
      </c>
      <c r="G102" s="371">
        <v>29087</v>
      </c>
      <c r="H102" s="371">
        <v>0.28999999999999998</v>
      </c>
      <c r="I102" s="373">
        <v>4.7309999999999998E-2</v>
      </c>
      <c r="J102" s="371">
        <v>62.44</v>
      </c>
      <c r="K102" s="920">
        <f t="shared" si="3"/>
        <v>18439.302582155276</v>
      </c>
      <c r="L102" s="923"/>
      <c r="M102" s="244"/>
      <c r="N102" s="1005"/>
      <c r="O102" s="27"/>
      <c r="P102" s="27"/>
      <c r="Q102" s="27"/>
    </row>
    <row r="103" spans="2:17">
      <c r="B103" s="1027" t="s">
        <v>59</v>
      </c>
      <c r="C103" s="1015">
        <f>D103+D104+D105</f>
        <v>230</v>
      </c>
      <c r="D103" s="378">
        <f>INT((D44/[1]Charakterystyka!$O$9)*[1]Charakterystyka!$AD$9)</f>
        <v>0</v>
      </c>
      <c r="E103" s="371" t="s">
        <v>58</v>
      </c>
      <c r="F103" s="371">
        <v>0.76</v>
      </c>
      <c r="G103" s="371">
        <v>1000</v>
      </c>
      <c r="H103" s="371">
        <f>32.1/100</f>
        <v>0.32100000000000001</v>
      </c>
      <c r="I103" s="373">
        <v>4.333E-2</v>
      </c>
      <c r="J103" s="371">
        <v>68.61</v>
      </c>
      <c r="K103" s="920">
        <f t="shared" si="3"/>
        <v>0</v>
      </c>
      <c r="L103" s="924"/>
      <c r="M103" s="244"/>
      <c r="N103" s="1005"/>
      <c r="O103" s="27"/>
      <c r="P103" s="27"/>
      <c r="Q103" s="27"/>
    </row>
    <row r="104" spans="2:17">
      <c r="B104" s="1028"/>
      <c r="C104" s="1015"/>
      <c r="D104" s="378">
        <f>INT((D45/[1]Charakterystyka!$O$9)*[1]Charakterystyka!$AD$9)</f>
        <v>167</v>
      </c>
      <c r="E104" s="376" t="s">
        <v>228</v>
      </c>
      <c r="F104" s="371">
        <v>0.84</v>
      </c>
      <c r="G104" s="371">
        <v>18746</v>
      </c>
      <c r="H104" s="371">
        <f>25.7/100</f>
        <v>0.25700000000000001</v>
      </c>
      <c r="I104" s="373">
        <v>4.48E-2</v>
      </c>
      <c r="J104" s="371">
        <v>73.33</v>
      </c>
      <c r="K104" s="920">
        <f t="shared" si="3"/>
        <v>2220.2260412233572</v>
      </c>
      <c r="L104" s="923">
        <f>K103+K104+K105</f>
        <v>3005.1422997880754</v>
      </c>
      <c r="M104" s="244"/>
      <c r="N104" s="1005"/>
      <c r="O104" s="27"/>
      <c r="P104" s="27"/>
      <c r="Q104" s="27"/>
    </row>
    <row r="105" spans="2:17">
      <c r="B105" s="1029"/>
      <c r="C105" s="1016"/>
      <c r="D105" s="378">
        <f>INT((D46/[1]Charakterystyka!$O$9)*[1]Charakterystyka!$AD$9)</f>
        <v>63</v>
      </c>
      <c r="E105" s="376" t="s">
        <v>229</v>
      </c>
      <c r="F105" s="371">
        <v>0.5</v>
      </c>
      <c r="G105" s="371">
        <v>29087</v>
      </c>
      <c r="H105" s="371">
        <v>0.28999999999999998</v>
      </c>
      <c r="I105" s="373">
        <v>4.7310000000000005E-2</v>
      </c>
      <c r="J105" s="371">
        <v>62.44</v>
      </c>
      <c r="K105" s="920">
        <f t="shared" si="3"/>
        <v>784.91625856471808</v>
      </c>
      <c r="L105" s="922"/>
      <c r="M105" s="244"/>
      <c r="N105" s="1005"/>
      <c r="O105" s="27"/>
      <c r="P105" s="27"/>
      <c r="Q105" s="27"/>
    </row>
    <row r="106" spans="2:17">
      <c r="B106" s="1054" t="s">
        <v>158</v>
      </c>
      <c r="C106" s="1015">
        <f>D106+D107+D108</f>
        <v>161</v>
      </c>
      <c r="D106" s="378">
        <f>INT((D47/[1]Charakterystyka!$O$9)*[1]Charakterystyka!$AD$9)</f>
        <v>14</v>
      </c>
      <c r="E106" s="371" t="s">
        <v>58</v>
      </c>
      <c r="F106" s="371">
        <v>0.76</v>
      </c>
      <c r="G106" s="371">
        <v>9677</v>
      </c>
      <c r="H106" s="371">
        <f>10/100</f>
        <v>0.1</v>
      </c>
      <c r="I106" s="373">
        <v>4.333E-2</v>
      </c>
      <c r="J106" s="371">
        <v>68.61</v>
      </c>
      <c r="K106" s="920">
        <f t="shared" si="3"/>
        <v>30.609658006586404</v>
      </c>
      <c r="L106" s="926"/>
      <c r="M106" s="244"/>
      <c r="N106" s="1005"/>
      <c r="O106" s="27"/>
      <c r="P106" s="27"/>
      <c r="Q106" s="27"/>
    </row>
    <row r="107" spans="2:17">
      <c r="B107" s="1012"/>
      <c r="C107" s="1015"/>
      <c r="D107" s="378">
        <f>INT((D48/[1]Charakterystyka!$O$9)*[1]Charakterystyka!$AD$9)</f>
        <v>112</v>
      </c>
      <c r="E107" s="376" t="s">
        <v>228</v>
      </c>
      <c r="F107" s="371">
        <v>0.84</v>
      </c>
      <c r="G107" s="371">
        <v>15682</v>
      </c>
      <c r="H107" s="371">
        <f>11/100</f>
        <v>0.11</v>
      </c>
      <c r="I107" s="373">
        <v>4.48E-2</v>
      </c>
      <c r="J107" s="371">
        <v>73.33</v>
      </c>
      <c r="K107" s="920">
        <f t="shared" si="3"/>
        <v>533.15212239421442</v>
      </c>
      <c r="L107" s="923">
        <f>K106+K107+K108</f>
        <v>685.36232557768085</v>
      </c>
      <c r="M107" s="244"/>
      <c r="N107" s="1005"/>
      <c r="O107" s="27"/>
      <c r="P107" s="27"/>
      <c r="Q107" s="27"/>
    </row>
    <row r="108" spans="2:17">
      <c r="B108" s="1013"/>
      <c r="C108" s="1016"/>
      <c r="D108" s="378">
        <f>INT((D49/[1]Charakterystyka!$O$9)*[1]Charakterystyka!$AD$9)</f>
        <v>35</v>
      </c>
      <c r="E108" s="376" t="s">
        <v>229</v>
      </c>
      <c r="F108" s="371">
        <v>0.5</v>
      </c>
      <c r="G108" s="371">
        <v>17424</v>
      </c>
      <c r="H108" s="371">
        <f>13.5/100</f>
        <v>0.13500000000000001</v>
      </c>
      <c r="I108" s="373">
        <v>4.7310000000000005E-2</v>
      </c>
      <c r="J108" s="371">
        <v>62.44</v>
      </c>
      <c r="K108" s="920">
        <f t="shared" si="3"/>
        <v>121.60054517688003</v>
      </c>
      <c r="L108" s="925"/>
      <c r="M108" s="244"/>
      <c r="N108" s="1005"/>
      <c r="O108" s="27"/>
      <c r="P108" s="27"/>
      <c r="Q108" s="27"/>
    </row>
    <row r="109" spans="2:17">
      <c r="B109" s="1054" t="s">
        <v>230</v>
      </c>
      <c r="C109" s="1015">
        <f>D109+D110+D111</f>
        <v>2</v>
      </c>
      <c r="D109" s="378">
        <f>INT((D50/[1]Charakterystyka!$O$9)*[1]Charakterystyka!$AD$9)</f>
        <v>2</v>
      </c>
      <c r="E109" s="376" t="s">
        <v>58</v>
      </c>
      <c r="F109" s="371">
        <v>0.76</v>
      </c>
      <c r="G109" s="371">
        <v>1000</v>
      </c>
      <c r="H109" s="371">
        <f>32.1/100</f>
        <v>0.32100000000000001</v>
      </c>
      <c r="I109" s="373">
        <v>4.333E-2</v>
      </c>
      <c r="J109" s="371">
        <v>68.61</v>
      </c>
      <c r="K109" s="920">
        <f t="shared" si="3"/>
        <v>1.4505233646960001</v>
      </c>
      <c r="L109" s="926"/>
      <c r="M109" s="244"/>
      <c r="N109" s="1005"/>
      <c r="O109" s="27"/>
      <c r="P109" s="27"/>
      <c r="Q109" s="27"/>
    </row>
    <row r="110" spans="2:17">
      <c r="B110" s="1012"/>
      <c r="C110" s="1015"/>
      <c r="D110" s="378">
        <f>INT((D51/[1]Charakterystyka!$O$9)*[1]Charakterystyka!$AD$9)</f>
        <v>0</v>
      </c>
      <c r="E110" s="376" t="s">
        <v>228</v>
      </c>
      <c r="F110" s="371">
        <v>0.84</v>
      </c>
      <c r="G110" s="371">
        <v>18746</v>
      </c>
      <c r="H110" s="371">
        <f>25.7/100</f>
        <v>0.25700000000000001</v>
      </c>
      <c r="I110" s="373">
        <v>4.48E-2</v>
      </c>
      <c r="J110" s="371">
        <v>73.33</v>
      </c>
      <c r="K110" s="920">
        <f t="shared" si="3"/>
        <v>0</v>
      </c>
      <c r="L110" s="923">
        <f>K109+K110+K111</f>
        <v>1.4505233646960001</v>
      </c>
      <c r="M110" s="244"/>
      <c r="N110" s="1005"/>
      <c r="O110" s="27"/>
      <c r="P110" s="27"/>
      <c r="Q110" s="27"/>
    </row>
    <row r="111" spans="2:17">
      <c r="B111" s="1013"/>
      <c r="C111" s="1016"/>
      <c r="D111" s="378">
        <f>INT((D52/[1]Charakterystyka!$O$9)*[1]Charakterystyka!$AD$9)</f>
        <v>0</v>
      </c>
      <c r="E111" s="371" t="s">
        <v>229</v>
      </c>
      <c r="F111" s="371">
        <v>0.5</v>
      </c>
      <c r="G111" s="371">
        <v>29087</v>
      </c>
      <c r="H111" s="371">
        <v>0.28999999999999998</v>
      </c>
      <c r="I111" s="373">
        <v>4.7310000000000005E-2</v>
      </c>
      <c r="J111" s="371">
        <v>62.44</v>
      </c>
      <c r="K111" s="920">
        <f t="shared" si="3"/>
        <v>0</v>
      </c>
      <c r="L111" s="925"/>
      <c r="M111" s="244"/>
      <c r="N111" s="1005"/>
      <c r="O111" s="27"/>
      <c r="P111" s="27"/>
      <c r="Q111" s="27"/>
    </row>
    <row r="112" spans="2:17">
      <c r="B112" s="1054" t="s">
        <v>159</v>
      </c>
      <c r="C112" s="1015">
        <f>D112+D113+D114</f>
        <v>638</v>
      </c>
      <c r="D112" s="378">
        <f>INT((D53/[1]Charakterystyka!$O$9)*[1]Charakterystyka!$AD$9)</f>
        <v>65</v>
      </c>
      <c r="E112" s="371" t="s">
        <v>58</v>
      </c>
      <c r="F112" s="371">
        <v>0.76</v>
      </c>
      <c r="G112" s="371">
        <v>1000</v>
      </c>
      <c r="H112" s="371">
        <f>32.1/100</f>
        <v>0.32100000000000001</v>
      </c>
      <c r="I112" s="373">
        <v>4.333E-2</v>
      </c>
      <c r="J112" s="371">
        <v>68.61</v>
      </c>
      <c r="K112" s="374">
        <f t="shared" si="3"/>
        <v>47.142009352620008</v>
      </c>
      <c r="L112" s="363"/>
      <c r="M112" s="244"/>
      <c r="N112" s="1005"/>
      <c r="O112" s="27"/>
      <c r="P112" s="27"/>
    </row>
    <row r="113" spans="2:16">
      <c r="B113" s="1012"/>
      <c r="C113" s="1015"/>
      <c r="D113" s="378">
        <f>INT((D54/[1]Charakterystyka!$O$9)*[1]Charakterystyka!$AD$9)</f>
        <v>506</v>
      </c>
      <c r="E113" s="376" t="s">
        <v>228</v>
      </c>
      <c r="F113" s="371">
        <v>0.84</v>
      </c>
      <c r="G113" s="371">
        <v>18746</v>
      </c>
      <c r="H113" s="371">
        <f>25.7/100</f>
        <v>0.25700000000000001</v>
      </c>
      <c r="I113" s="373">
        <v>4.48E-2</v>
      </c>
      <c r="J113" s="371">
        <v>73.33</v>
      </c>
      <c r="K113" s="374">
        <f t="shared" si="3"/>
        <v>6727.1519572396337</v>
      </c>
      <c r="L113" s="363">
        <f>K112+K113+K114</f>
        <v>6774.293966592254</v>
      </c>
      <c r="M113" s="244"/>
      <c r="N113" s="1005"/>
      <c r="O113" s="27"/>
      <c r="P113" s="27"/>
    </row>
    <row r="114" spans="2:16">
      <c r="B114" s="1013"/>
      <c r="C114" s="1016"/>
      <c r="D114" s="378">
        <f>INT((D55/[1]Charakterystyka!$O$9)*[1]Charakterystyka!$AD$9)</f>
        <v>67</v>
      </c>
      <c r="E114" s="376" t="s">
        <v>229</v>
      </c>
      <c r="F114" s="371">
        <v>0.5</v>
      </c>
      <c r="G114" s="371">
        <v>29087</v>
      </c>
      <c r="H114" s="371">
        <v>0</v>
      </c>
      <c r="I114" s="373">
        <v>4.7310000000000005E-2</v>
      </c>
      <c r="J114" s="371">
        <v>62.44</v>
      </c>
      <c r="K114" s="374">
        <f t="shared" si="3"/>
        <v>0</v>
      </c>
      <c r="L114" s="363"/>
      <c r="M114" s="244"/>
      <c r="N114" s="1005"/>
      <c r="O114" s="27"/>
      <c r="P114" s="27"/>
    </row>
    <row r="115" spans="2:16">
      <c r="B115" s="1054" t="s">
        <v>53</v>
      </c>
      <c r="C115" s="1015">
        <f>D115+D116+D117</f>
        <v>1460</v>
      </c>
      <c r="D115" s="378">
        <f>INT((D56/[1]Charakterystyka!$O$9)*[1]Charakterystyka!$AD$9)</f>
        <v>42</v>
      </c>
      <c r="E115" s="371" t="s">
        <v>58</v>
      </c>
      <c r="F115" s="371">
        <v>0.76</v>
      </c>
      <c r="G115" s="371">
        <v>13071</v>
      </c>
      <c r="H115" s="371">
        <f>32.1/100</f>
        <v>0.32100000000000001</v>
      </c>
      <c r="I115" s="373">
        <v>4.333E-2</v>
      </c>
      <c r="J115" s="371">
        <v>68.61</v>
      </c>
      <c r="K115" s="920">
        <f t="shared" si="3"/>
        <v>398.1556088987698</v>
      </c>
      <c r="L115" s="921"/>
      <c r="M115" s="244"/>
      <c r="N115" s="244"/>
      <c r="O115" s="27"/>
      <c r="P115" s="27"/>
    </row>
    <row r="116" spans="2:16">
      <c r="B116" s="1012"/>
      <c r="C116" s="1015"/>
      <c r="D116" s="378">
        <f>INT((D57/[1]Charakterystyka!$O$9)*[1]Charakterystyka!$AD$9)</f>
        <v>751</v>
      </c>
      <c r="E116" s="376" t="s">
        <v>228</v>
      </c>
      <c r="F116" s="371">
        <v>0.84</v>
      </c>
      <c r="G116" s="371">
        <f>26142/2</f>
        <v>13071</v>
      </c>
      <c r="H116" s="371">
        <f>25.7/100</f>
        <v>0.25700000000000001</v>
      </c>
      <c r="I116" s="373">
        <v>4.48E-2</v>
      </c>
      <c r="J116" s="371">
        <v>73.33</v>
      </c>
      <c r="K116" s="920">
        <f t="shared" si="3"/>
        <v>6961.7890581392548</v>
      </c>
      <c r="L116" s="923">
        <f>K115+K116+K117</f>
        <v>7359.9446670380248</v>
      </c>
      <c r="M116" s="244"/>
      <c r="N116" s="244"/>
      <c r="O116" s="27"/>
      <c r="P116" s="27"/>
    </row>
    <row r="117" spans="2:16">
      <c r="B117" s="1013"/>
      <c r="C117" s="1016"/>
      <c r="D117" s="378">
        <f>INT((D58/[1]Charakterystyka!$O$9)*[1]Charakterystyka!$AD$9)</f>
        <v>667</v>
      </c>
      <c r="E117" s="376" t="s">
        <v>229</v>
      </c>
      <c r="F117" s="371">
        <v>0.5</v>
      </c>
      <c r="G117" s="371">
        <v>13071</v>
      </c>
      <c r="H117" s="371">
        <v>0</v>
      </c>
      <c r="I117" s="373">
        <v>4.7310000000000005E-2</v>
      </c>
      <c r="J117" s="371">
        <v>62.44</v>
      </c>
      <c r="K117" s="920">
        <f t="shared" si="3"/>
        <v>0</v>
      </c>
      <c r="L117" s="922"/>
      <c r="M117" s="244"/>
      <c r="N117" s="244"/>
      <c r="O117" s="27"/>
      <c r="P117" s="27"/>
    </row>
    <row r="118" spans="2:16">
      <c r="B118" s="1026" t="s">
        <v>13</v>
      </c>
      <c r="C118" s="1015">
        <f>D118+D119+D120</f>
        <v>34265</v>
      </c>
      <c r="D118" s="378">
        <f>INT((D59/[1]Charakterystyka!$O$9)*[1]Charakterystyka!$AD$9)</f>
        <v>11288</v>
      </c>
      <c r="E118" s="371" t="s">
        <v>58</v>
      </c>
      <c r="F118" s="364"/>
      <c r="G118" s="364"/>
      <c r="H118" s="364"/>
      <c r="I118" s="365"/>
      <c r="J118" s="364"/>
      <c r="K118" s="374">
        <f>K94+K97+K100+K103+K106+K112+K115</f>
        <v>15021.208085899763</v>
      </c>
      <c r="L118" s="1009">
        <f>SUM(K118:K120)</f>
        <v>123390.50034015953</v>
      </c>
      <c r="M118" s="244"/>
      <c r="N118" s="1005"/>
      <c r="O118" s="27"/>
      <c r="P118" s="27"/>
    </row>
    <row r="119" spans="2:16">
      <c r="B119" s="1026"/>
      <c r="C119" s="1015"/>
      <c r="D119" s="378">
        <f>INT((D60/[1]Charakterystyka!$O$9)*[1]Charakterystyka!$AD$9)</f>
        <v>10579</v>
      </c>
      <c r="E119" s="376" t="s">
        <v>228</v>
      </c>
      <c r="F119" s="364"/>
      <c r="G119" s="364"/>
      <c r="H119" s="364"/>
      <c r="I119" s="365"/>
      <c r="J119" s="364"/>
      <c r="K119" s="374">
        <f>K95+K98+K101+K104+K107+K113+K116</f>
        <v>66651.887268084407</v>
      </c>
      <c r="L119" s="1009"/>
      <c r="M119" s="244"/>
      <c r="N119" s="1006"/>
      <c r="O119" s="27"/>
      <c r="P119" s="27"/>
    </row>
    <row r="120" spans="2:16" ht="15.75" thickBot="1">
      <c r="B120" s="1018"/>
      <c r="C120" s="1019"/>
      <c r="D120" s="379">
        <f>INT((D61/[1]Charakterystyka!$O$9)*[1]Charakterystyka!$AD$9)</f>
        <v>12398</v>
      </c>
      <c r="E120" s="367" t="s">
        <v>229</v>
      </c>
      <c r="F120" s="368"/>
      <c r="G120" s="368"/>
      <c r="H120" s="368"/>
      <c r="I120" s="369"/>
      <c r="J120" s="368"/>
      <c r="K120" s="370">
        <f>K96+K99+K102+K105+K108+K111+K114+K117</f>
        <v>41717.404986175359</v>
      </c>
      <c r="L120" s="1022"/>
      <c r="M120" s="244"/>
      <c r="N120" s="1006"/>
      <c r="O120" s="27"/>
      <c r="P120" s="27"/>
    </row>
    <row r="121" spans="2:16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44"/>
      <c r="N121" s="1005"/>
      <c r="O121" s="27"/>
      <c r="P121" s="27"/>
    </row>
    <row r="122" spans="2:16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44"/>
      <c r="N122" s="1005"/>
      <c r="O122" s="27"/>
      <c r="P122" s="27"/>
    </row>
    <row r="123" spans="2:16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44"/>
      <c r="N123" s="1005"/>
      <c r="O123" s="27"/>
      <c r="P123" s="27"/>
    </row>
    <row r="124" spans="2:16"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</row>
    <row r="125" spans="2:16"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</row>
    <row r="126" spans="2:16"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</row>
    <row r="127" spans="2:16"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</row>
    <row r="128" spans="2:16"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</row>
    <row r="129" spans="4:16"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</row>
    <row r="130" spans="4:16"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</row>
    <row r="131" spans="4:16"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</row>
    <row r="132" spans="4:16"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</row>
    <row r="133" spans="4:16">
      <c r="M133" s="27"/>
      <c r="N133" s="27"/>
      <c r="O133" s="27"/>
      <c r="P133" s="27"/>
    </row>
    <row r="134" spans="4:16">
      <c r="M134" s="27"/>
      <c r="N134" s="27"/>
      <c r="O134" s="27"/>
      <c r="P134" s="27"/>
    </row>
    <row r="135" spans="4:16">
      <c r="M135" s="27"/>
      <c r="N135" s="27"/>
      <c r="O135" s="27"/>
      <c r="P135" s="27"/>
    </row>
  </sheetData>
  <mergeCells count="148">
    <mergeCell ref="B38:B40"/>
    <mergeCell ref="B59:B61"/>
    <mergeCell ref="C59:C61"/>
    <mergeCell ref="L59:L61"/>
    <mergeCell ref="B91:F91"/>
    <mergeCell ref="C92:D93"/>
    <mergeCell ref="E92:E93"/>
    <mergeCell ref="F92:F93"/>
    <mergeCell ref="G92:G93"/>
    <mergeCell ref="B53:B55"/>
    <mergeCell ref="C53:C55"/>
    <mergeCell ref="B56:B58"/>
    <mergeCell ref="C56:C58"/>
    <mergeCell ref="B63:F63"/>
    <mergeCell ref="C64:D65"/>
    <mergeCell ref="E64:E65"/>
    <mergeCell ref="F64:F65"/>
    <mergeCell ref="G64:G65"/>
    <mergeCell ref="H64:H65"/>
    <mergeCell ref="I64:I65"/>
    <mergeCell ref="J64:J65"/>
    <mergeCell ref="K64:K65"/>
    <mergeCell ref="B66:B68"/>
    <mergeCell ref="C66:C68"/>
    <mergeCell ref="L21:L23"/>
    <mergeCell ref="L64:L65"/>
    <mergeCell ref="B112:B114"/>
    <mergeCell ref="C112:C114"/>
    <mergeCell ref="B94:B96"/>
    <mergeCell ref="C94:C96"/>
    <mergeCell ref="B97:B99"/>
    <mergeCell ref="C97:C99"/>
    <mergeCell ref="B100:B102"/>
    <mergeCell ref="C100:C102"/>
    <mergeCell ref="B35:B37"/>
    <mergeCell ref="C35:C37"/>
    <mergeCell ref="H33:H34"/>
    <mergeCell ref="I33:I34"/>
    <mergeCell ref="H92:H93"/>
    <mergeCell ref="I92:I93"/>
    <mergeCell ref="J92:J93"/>
    <mergeCell ref="K92:K93"/>
    <mergeCell ref="L92:L93"/>
    <mergeCell ref="J33:J34"/>
    <mergeCell ref="B47:B49"/>
    <mergeCell ref="C47:C49"/>
    <mergeCell ref="B50:B52"/>
    <mergeCell ref="C50:C52"/>
    <mergeCell ref="B118:B120"/>
    <mergeCell ref="C118:C120"/>
    <mergeCell ref="L118:L120"/>
    <mergeCell ref="B103:B105"/>
    <mergeCell ref="C103:C105"/>
    <mergeCell ref="B106:B108"/>
    <mergeCell ref="C106:C108"/>
    <mergeCell ref="B109:B111"/>
    <mergeCell ref="C109:C111"/>
    <mergeCell ref="B115:B117"/>
    <mergeCell ref="C115:C117"/>
    <mergeCell ref="K33:K34"/>
    <mergeCell ref="B3:F3"/>
    <mergeCell ref="C4:D5"/>
    <mergeCell ref="E4:E5"/>
    <mergeCell ref="F4:F5"/>
    <mergeCell ref="G4:G5"/>
    <mergeCell ref="H4:H5"/>
    <mergeCell ref="I4:I5"/>
    <mergeCell ref="J4:J5"/>
    <mergeCell ref="K4:K5"/>
    <mergeCell ref="B32:F32"/>
    <mergeCell ref="C33:D34"/>
    <mergeCell ref="E33:E34"/>
    <mergeCell ref="F33:F34"/>
    <mergeCell ref="B12:B14"/>
    <mergeCell ref="C12:C14"/>
    <mergeCell ref="G33:G34"/>
    <mergeCell ref="C38:C40"/>
    <mergeCell ref="B41:B43"/>
    <mergeCell ref="C41:C43"/>
    <mergeCell ref="B44:B46"/>
    <mergeCell ref="C44:C46"/>
    <mergeCell ref="L4:L5"/>
    <mergeCell ref="M5:M6"/>
    <mergeCell ref="N16:N18"/>
    <mergeCell ref="N7:N9"/>
    <mergeCell ref="N10:N12"/>
    <mergeCell ref="N5:N6"/>
    <mergeCell ref="N13:N15"/>
    <mergeCell ref="B15:B17"/>
    <mergeCell ref="C15:C17"/>
    <mergeCell ref="B18:B20"/>
    <mergeCell ref="C18:C20"/>
    <mergeCell ref="L15:L17"/>
    <mergeCell ref="L18:L20"/>
    <mergeCell ref="B6:B8"/>
    <mergeCell ref="C6:C8"/>
    <mergeCell ref="L6:L8"/>
    <mergeCell ref="B9:B11"/>
    <mergeCell ref="C9:C11"/>
    <mergeCell ref="L9:L11"/>
    <mergeCell ref="L12:L14"/>
    <mergeCell ref="N38:N40"/>
    <mergeCell ref="N41:N43"/>
    <mergeCell ref="N91:N92"/>
    <mergeCell ref="N50:N52"/>
    <mergeCell ref="N59:N61"/>
    <mergeCell ref="B21:B23"/>
    <mergeCell ref="C21:C23"/>
    <mergeCell ref="B24:B26"/>
    <mergeCell ref="C24:C26"/>
    <mergeCell ref="B27:B29"/>
    <mergeCell ref="C27:C29"/>
    <mergeCell ref="N53:N55"/>
    <mergeCell ref="N44:N46"/>
    <mergeCell ref="N28:N30"/>
    <mergeCell ref="N31:N33"/>
    <mergeCell ref="M36:M37"/>
    <mergeCell ref="N36:N37"/>
    <mergeCell ref="N19:N21"/>
    <mergeCell ref="N22:N24"/>
    <mergeCell ref="N47:N49"/>
    <mergeCell ref="L24:L26"/>
    <mergeCell ref="L27:L29"/>
    <mergeCell ref="L33:L34"/>
    <mergeCell ref="N121:N123"/>
    <mergeCell ref="N112:N114"/>
    <mergeCell ref="N118:N120"/>
    <mergeCell ref="N100:N102"/>
    <mergeCell ref="N103:N105"/>
    <mergeCell ref="N106:N108"/>
    <mergeCell ref="N109:N111"/>
    <mergeCell ref="M95:M96"/>
    <mergeCell ref="N95:N96"/>
    <mergeCell ref="N97:N99"/>
    <mergeCell ref="B69:B71"/>
    <mergeCell ref="C69:C71"/>
    <mergeCell ref="B72:B74"/>
    <mergeCell ref="C72:C74"/>
    <mergeCell ref="B75:B77"/>
    <mergeCell ref="C75:C77"/>
    <mergeCell ref="B87:B89"/>
    <mergeCell ref="C87:C89"/>
    <mergeCell ref="B78:B80"/>
    <mergeCell ref="C78:C80"/>
    <mergeCell ref="B81:B83"/>
    <mergeCell ref="C81:C83"/>
    <mergeCell ref="B84:B86"/>
    <mergeCell ref="C84:C8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rowBreaks count="3" manualBreakCount="3">
    <brk id="30" max="11" man="1"/>
    <brk id="62" max="11" man="1"/>
    <brk id="90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Q65"/>
  <sheetViews>
    <sheetView showGridLines="0" view="pageBreakPreview" topLeftCell="A46" zoomScale="75" zoomScaleNormal="80" zoomScaleSheetLayoutView="75" workbookViewId="0">
      <selection activeCell="E65" sqref="E65"/>
    </sheetView>
  </sheetViews>
  <sheetFormatPr defaultRowHeight="15"/>
  <cols>
    <col min="1" max="1" width="2.5" style="75" customWidth="1"/>
    <col min="2" max="2" width="13.375" style="75" customWidth="1"/>
    <col min="3" max="4" width="13.875" style="75" customWidth="1"/>
    <col min="5" max="6" width="13" style="75" customWidth="1"/>
    <col min="7" max="7" width="15.5" style="75" customWidth="1"/>
    <col min="8" max="8" width="14.75" style="75" customWidth="1"/>
    <col min="9" max="9" width="14.625" style="75" customWidth="1"/>
    <col min="10" max="10" width="14.875" style="75" customWidth="1"/>
    <col min="11" max="11" width="15" style="75" customWidth="1"/>
    <col min="12" max="12" width="15.125" style="75" customWidth="1"/>
    <col min="13" max="13" width="3.75" style="75" customWidth="1"/>
    <col min="14" max="14" width="15.5" style="75" customWidth="1"/>
    <col min="15" max="15" width="14.625" style="75" customWidth="1"/>
    <col min="16" max="16" width="15.375" style="75" customWidth="1"/>
    <col min="17" max="17" width="14.75" style="75" customWidth="1"/>
    <col min="18" max="18" width="9.875" style="75" bestFit="1" customWidth="1"/>
    <col min="19" max="19" width="9" style="75" customWidth="1"/>
    <col min="20" max="16384" width="9" style="75"/>
  </cols>
  <sheetData>
    <row r="1" spans="2:17" s="71" customFormat="1" ht="15.75" thickBot="1">
      <c r="Q1" s="284"/>
    </row>
    <row r="2" spans="2:17" s="74" customFormat="1" ht="19.5" thickBot="1">
      <c r="B2" s="72" t="s">
        <v>56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285"/>
    </row>
    <row r="3" spans="2:17" ht="15.75" thickBot="1">
      <c r="O3" s="76">
        <v>2000</v>
      </c>
      <c r="P3" s="76">
        <v>2012</v>
      </c>
      <c r="Q3" s="286"/>
    </row>
    <row r="4" spans="2:17" ht="49.5" customHeight="1" thickBot="1">
      <c r="C4" s="77" t="s">
        <v>236</v>
      </c>
      <c r="D4" s="192" t="s">
        <v>235</v>
      </c>
      <c r="E4" s="192" t="s">
        <v>152</v>
      </c>
      <c r="F4" s="192" t="s">
        <v>231</v>
      </c>
      <c r="G4" s="78" t="s">
        <v>149</v>
      </c>
      <c r="H4" s="78" t="s">
        <v>44</v>
      </c>
      <c r="I4" s="78" t="s">
        <v>45</v>
      </c>
      <c r="J4" s="161" t="s">
        <v>239</v>
      </c>
      <c r="K4" s="161" t="s">
        <v>232</v>
      </c>
      <c r="L4" s="162" t="s">
        <v>151</v>
      </c>
      <c r="Q4" s="187"/>
    </row>
    <row r="5" spans="2:17">
      <c r="B5" s="1078" t="s">
        <v>46</v>
      </c>
      <c r="C5" s="1079"/>
      <c r="D5" s="186">
        <f t="shared" ref="D5:D11" si="0">INT(E5/1.17)</f>
        <v>2545</v>
      </c>
      <c r="E5" s="193">
        <v>2978</v>
      </c>
      <c r="F5" s="185">
        <f>E5*((1+(0.9*4.1)/100))*((1+(0.9*2.6)/100))*((1+(0.9*3.5)/100))*((1+(0.9*3.8)/100))</f>
        <v>3371.1707201565901</v>
      </c>
      <c r="G5" s="184">
        <f>INT(E5*((1+(0.9*3.9)/100))*((1+(0.8*3.7)/100))*((1+(0.8*3.8)/100))*((1+(0.8*3.7)/100))*((1+(0.8*3.4)/100))*((1+(0.8*3.4)/100)))</f>
        <v>3552</v>
      </c>
      <c r="H5" s="81">
        <v>155</v>
      </c>
      <c r="I5" s="190">
        <v>5.52</v>
      </c>
      <c r="J5" s="430">
        <f t="shared" ref="J5:J11" si="1">(D5*H5*I5*365)/1000000</f>
        <v>794.78823</v>
      </c>
      <c r="K5" s="430">
        <f>(E5*H5*I5*365)/1000000</f>
        <v>930.01153199999987</v>
      </c>
      <c r="L5" s="434">
        <f>(G5*H5*I5*365)/1000000</f>
        <v>1109.268288</v>
      </c>
      <c r="Q5" s="187"/>
    </row>
    <row r="6" spans="2:17">
      <c r="B6" s="1080" t="s">
        <v>47</v>
      </c>
      <c r="C6" s="1081"/>
      <c r="D6" s="386">
        <f t="shared" si="0"/>
        <v>10</v>
      </c>
      <c r="E6" s="387">
        <v>12</v>
      </c>
      <c r="F6" s="388">
        <f>E6*((1+(0.33*4.1)/100))*((1+(0.33*2.6)/100))*((1+(0.33*3.5)/100))*((1+(0.33*3.8)/100))</f>
        <v>12.56399484006344</v>
      </c>
      <c r="G6" s="389">
        <f>INT(E6*((1+(0.9*3.9)/100))*((1+(0.8*3.7)/100))*((1+(0.8*3.8)/100))*((1+(0.8*3.7)/100))*((1+(0.8*3.4)/100))*((1+(0.8*3.4)/100)))</f>
        <v>14</v>
      </c>
      <c r="H6" s="390">
        <v>155</v>
      </c>
      <c r="I6" s="385">
        <v>5.52</v>
      </c>
      <c r="J6" s="431">
        <f t="shared" si="1"/>
        <v>3.1229399999999998</v>
      </c>
      <c r="K6" s="431">
        <f t="shared" ref="K6:K11" si="2">(E6*H6*I6*365)/1000000</f>
        <v>3.7475279999999995</v>
      </c>
      <c r="L6" s="435">
        <f t="shared" ref="L6:L11" si="3">(G6*H6*I6*365)/1000000</f>
        <v>4.3721160000000001</v>
      </c>
    </row>
    <row r="7" spans="2:17" ht="30" customHeight="1">
      <c r="B7" s="1080" t="s">
        <v>48</v>
      </c>
      <c r="C7" s="1081"/>
      <c r="D7" s="386">
        <f t="shared" si="0"/>
        <v>430</v>
      </c>
      <c r="E7" s="393">
        <v>504</v>
      </c>
      <c r="F7" s="394">
        <f>E7*((1+(0.33*4.1)/100))*((1+(0.33*2.6)/100))*((1+(0.33*3.5)/100))*((1+(0.33*3.8)/100))</f>
        <v>527.68778328266444</v>
      </c>
      <c r="G7" s="395">
        <f>INT(E7*((1+(0.33*3.9)/100))*((1+(0.33*3.7)/100))*((1+(0.33*3.8)/100))*((1+(0.33*3.7)/100))*((1+(0.33*3.4)/100))*((1+(0.33*3.4)/100)))</f>
        <v>541</v>
      </c>
      <c r="H7" s="396">
        <v>450</v>
      </c>
      <c r="I7" s="385">
        <v>5.52</v>
      </c>
      <c r="J7" s="432">
        <f t="shared" si="1"/>
        <v>389.86380000000003</v>
      </c>
      <c r="K7" s="432">
        <f t="shared" si="2"/>
        <v>456.95663999999999</v>
      </c>
      <c r="L7" s="436">
        <f t="shared" si="3"/>
        <v>490.50306</v>
      </c>
    </row>
    <row r="8" spans="2:17">
      <c r="B8" s="1080" t="s">
        <v>49</v>
      </c>
      <c r="C8" s="399" t="s">
        <v>50</v>
      </c>
      <c r="D8" s="386">
        <f t="shared" si="0"/>
        <v>248</v>
      </c>
      <c r="E8" s="387">
        <v>291</v>
      </c>
      <c r="F8" s="400">
        <f>E8*((1+(0.35*4.1)/100))*((1+(0.35*2.6)/100))*((1+(0.35*3.5)/100))*((1+(0.35*3.8)/100))</f>
        <v>305.5208522217464</v>
      </c>
      <c r="G8" s="389">
        <f>INT(E8*((1+(0.35*3.9)/100))*((1+(0.35*3.7)/100))*((1+(0.35*3.8)/100))*((1+(0.35*3.7)/100))*((1+(0.35*3.4)/100))*((1+(0.35*3.4)/100)))</f>
        <v>314</v>
      </c>
      <c r="H8" s="390">
        <v>450</v>
      </c>
      <c r="I8" s="385">
        <v>5.52</v>
      </c>
      <c r="J8" s="431">
        <f t="shared" si="1"/>
        <v>224.85167999999999</v>
      </c>
      <c r="K8" s="431">
        <f t="shared" si="2"/>
        <v>263.83805999999998</v>
      </c>
      <c r="L8" s="435">
        <f t="shared" si="3"/>
        <v>284.69123999999994</v>
      </c>
    </row>
    <row r="9" spans="2:17">
      <c r="B9" s="1080"/>
      <c r="C9" s="399" t="s">
        <v>51</v>
      </c>
      <c r="D9" s="386">
        <f t="shared" si="0"/>
        <v>1119</v>
      </c>
      <c r="E9" s="387">
        <v>1310</v>
      </c>
      <c r="F9" s="388">
        <f>E9*((1+(1.07*4.1)/100))*((1+(1.07*2.6)/100))*((1+(1.07*3.5)/100))*((1+(1.07*3.8)/100))</f>
        <v>1517.437502694735</v>
      </c>
      <c r="G9" s="389">
        <f>INT(E9*((1+(1.07*3.9)/100))*((1+(1*3.7)/100))*((1+(1*3.8)/100))*((1+(1*3.7)/100))*((1+(1*3.4)/100))*((1+(1*3.4)/100)))</f>
        <v>1628</v>
      </c>
      <c r="H9" s="390">
        <v>900</v>
      </c>
      <c r="I9" s="385">
        <v>5.52</v>
      </c>
      <c r="J9" s="431">
        <f t="shared" si="1"/>
        <v>2029.10508</v>
      </c>
      <c r="K9" s="431">
        <f t="shared" si="2"/>
        <v>2375.4491999999996</v>
      </c>
      <c r="L9" s="435">
        <f t="shared" si="3"/>
        <v>2952.0849599999997</v>
      </c>
    </row>
    <row r="10" spans="2:17">
      <c r="B10" s="1080" t="s">
        <v>52</v>
      </c>
      <c r="C10" s="1081"/>
      <c r="D10" s="386">
        <f t="shared" si="0"/>
        <v>45</v>
      </c>
      <c r="E10" s="387">
        <v>53</v>
      </c>
      <c r="F10" s="388">
        <f>E10*((1+(1*4.1)/100))*((1+(1*2.6)/100))*((1+(1*3.5)/100))*((1+(1*3.8)/100))</f>
        <v>60.815133326339989</v>
      </c>
      <c r="G10" s="389">
        <f>INT(E10*((1+(1.07*3.9)/100))*((1+(1*3.7)/100))*((1+(1*3.8)/100))*((1+(1*3.7)/100))*((1+(1*3.4)/100))*((1+(1*3.4)/100)))</f>
        <v>65</v>
      </c>
      <c r="H10" s="390">
        <v>450</v>
      </c>
      <c r="I10" s="385">
        <v>5.52</v>
      </c>
      <c r="J10" s="431">
        <f t="shared" si="1"/>
        <v>40.799699999999994</v>
      </c>
      <c r="K10" s="431">
        <f t="shared" si="2"/>
        <v>48.052979999999998</v>
      </c>
      <c r="L10" s="435">
        <f t="shared" si="3"/>
        <v>58.932899999999997</v>
      </c>
    </row>
    <row r="11" spans="2:17" ht="15.75" thickBot="1">
      <c r="B11" s="1082" t="s">
        <v>53</v>
      </c>
      <c r="C11" s="1083"/>
      <c r="D11" s="401">
        <f t="shared" si="0"/>
        <v>9</v>
      </c>
      <c r="E11" s="402">
        <v>11</v>
      </c>
      <c r="F11" s="403">
        <f>E11*((1+(1*4.1)/100))*((1+(1*2.6)/100))*((1+(1*3.5)/100))*((1+(1*3.8)/100))</f>
        <v>12.622008803579998</v>
      </c>
      <c r="G11" s="404">
        <f>INT(E11*((1+(1.07*3.9)/100))*((1+(1*3.7)/100))*((1+(1*3.8)/100))*((1+(1*3.7)/100))*((1+(1*3.4)/100))*((1+(1*3.4)/100)))</f>
        <v>13</v>
      </c>
      <c r="H11" s="405">
        <v>450</v>
      </c>
      <c r="I11" s="406">
        <v>5.52</v>
      </c>
      <c r="J11" s="433">
        <f t="shared" si="1"/>
        <v>8.1599400000000006</v>
      </c>
      <c r="K11" s="433">
        <f t="shared" si="2"/>
        <v>9.973259999999998</v>
      </c>
      <c r="L11" s="437">
        <f t="shared" si="3"/>
        <v>11.786579999999999</v>
      </c>
    </row>
    <row r="12" spans="2:17" ht="15.75" customHeight="1" thickBot="1">
      <c r="D12" s="222">
        <f>SUM(D5:D11)</f>
        <v>4406</v>
      </c>
      <c r="E12" s="223">
        <f>SUM(E5:E11)</f>
        <v>5159</v>
      </c>
      <c r="F12" s="222">
        <f>SUM(F5:F11)</f>
        <v>5807.8179953257204</v>
      </c>
      <c r="G12" s="224">
        <f>SUM(G5:G11)</f>
        <v>6127</v>
      </c>
      <c r="J12" s="438">
        <f>SUM(J5:J11)</f>
        <v>3490.69137</v>
      </c>
      <c r="K12" s="438">
        <f>SUM(K5:K11)</f>
        <v>4088.0291999999995</v>
      </c>
      <c r="L12" s="439">
        <f>SUM(L5:L11)</f>
        <v>4911.6391439999989</v>
      </c>
    </row>
    <row r="13" spans="2:17" ht="15.75" thickBot="1"/>
    <row r="14" spans="2:17" ht="55.5" customHeight="1" thickBot="1">
      <c r="C14" s="77" t="s">
        <v>237</v>
      </c>
      <c r="D14" s="78" t="s">
        <v>235</v>
      </c>
      <c r="E14" s="192" t="s">
        <v>152</v>
      </c>
      <c r="F14" s="192" t="s">
        <v>231</v>
      </c>
      <c r="G14" s="78" t="s">
        <v>149</v>
      </c>
      <c r="H14" s="78" t="s">
        <v>44</v>
      </c>
      <c r="I14" s="78" t="s">
        <v>45</v>
      </c>
      <c r="J14" s="161" t="s">
        <v>239</v>
      </c>
      <c r="K14" s="161" t="s">
        <v>232</v>
      </c>
      <c r="L14" s="162" t="s">
        <v>151</v>
      </c>
    </row>
    <row r="15" spans="2:17" ht="15" customHeight="1">
      <c r="B15" s="1078" t="s">
        <v>46</v>
      </c>
      <c r="C15" s="1079"/>
      <c r="D15" s="186">
        <f t="shared" ref="D15:D21" si="4">INT(E15/1.17)</f>
        <v>6732</v>
      </c>
      <c r="E15" s="193">
        <v>7877</v>
      </c>
      <c r="F15" s="185">
        <f>E15*((1+(0.9*4.1)/100))*((1+(0.9*2.6)/100))*((1+(0.9*3.5)/100))*((1+(0.9*3.8)/100))</f>
        <v>8916.9616395814173</v>
      </c>
      <c r="G15" s="184">
        <f>INT(E15*((1+(0.9*3.9)/100))*((1+(0.8*3.7)/100))*((1+(0.8*3.8)/100))*((1+(0.8*3.7)/100))*((1+(0.8*3.4)/100))*((1+(0.8*3.4)/100)))</f>
        <v>9397</v>
      </c>
      <c r="H15" s="81">
        <v>155</v>
      </c>
      <c r="I15" s="191">
        <v>4.8499999999999996</v>
      </c>
      <c r="J15" s="430">
        <f t="shared" ref="J15:J21" si="5">(D15*H15*I15*365)/1000000</f>
        <v>1847.1850649999999</v>
      </c>
      <c r="K15" s="430">
        <f>(E15*H15*I15*365)/1000000</f>
        <v>2161.36018375</v>
      </c>
      <c r="L15" s="434">
        <f>(G15*H15*I15*365)/1000000</f>
        <v>2578.4310837499997</v>
      </c>
    </row>
    <row r="16" spans="2:17">
      <c r="B16" s="1080" t="s">
        <v>47</v>
      </c>
      <c r="C16" s="1081"/>
      <c r="D16" s="386">
        <f t="shared" si="4"/>
        <v>49</v>
      </c>
      <c r="E16" s="387">
        <v>58</v>
      </c>
      <c r="F16" s="388">
        <f>E16*((1+(0.33*4.1)/100))*((1+(0.33*2.6)/100))*((1+(0.33*3.5)/100))*((1+(0.33*3.8)/100))</f>
        <v>60.725975060306624</v>
      </c>
      <c r="G16" s="440">
        <f>INT(E16*((1+(0.9*3.9)/100))*((1+(0.8*3.7)/100))*((1+(0.8*3.8)/100))*((1+(0.8*3.7)/100))*((1+(0.8*3.4)/100))*((1+(0.8*3.4)/100)))</f>
        <v>69</v>
      </c>
      <c r="H16" s="390">
        <v>155</v>
      </c>
      <c r="I16" s="409">
        <v>4.8499999999999996</v>
      </c>
      <c r="J16" s="431">
        <f t="shared" si="5"/>
        <v>13.44504875</v>
      </c>
      <c r="K16" s="431">
        <f t="shared" ref="K16:K21" si="6">(E16*H16*I16*365)/1000000</f>
        <v>15.914547499999999</v>
      </c>
      <c r="L16" s="435">
        <f t="shared" ref="L16:L21" si="7">(G16*H16*I16*365)/1000000</f>
        <v>18.932823749999997</v>
      </c>
    </row>
    <row r="17" spans="2:17" ht="15" customHeight="1">
      <c r="B17" s="1080" t="s">
        <v>48</v>
      </c>
      <c r="C17" s="1081"/>
      <c r="D17" s="386">
        <f t="shared" si="4"/>
        <v>485</v>
      </c>
      <c r="E17" s="393">
        <v>568</v>
      </c>
      <c r="F17" s="394">
        <f>E17*((1+(0.33*4.1)/100))*((1+(0.33*2.6)/100))*((1+(0.33*3.5)/100))*((1+(0.33*3.8)/100))</f>
        <v>594.69575576300292</v>
      </c>
      <c r="G17" s="395">
        <f>INT(E17*((1+(0.33*3.9)/100))*((1+(0.33*3.7)/100))*((1+(0.33*3.8)/100))*((1+(0.33*3.7)/100))*((1+(0.33*3.4)/100))*((1+(0.33*4)/100)))</f>
        <v>611</v>
      </c>
      <c r="H17" s="396">
        <v>450</v>
      </c>
      <c r="I17" s="409">
        <v>4.8499999999999996</v>
      </c>
      <c r="J17" s="432">
        <f t="shared" si="5"/>
        <v>386.35706249999998</v>
      </c>
      <c r="K17" s="432">
        <f t="shared" si="6"/>
        <v>452.47590000000002</v>
      </c>
      <c r="L17" s="436">
        <f t="shared" si="7"/>
        <v>486.73023749999999</v>
      </c>
    </row>
    <row r="18" spans="2:17" ht="15" customHeight="1">
      <c r="B18" s="1080" t="s">
        <v>49</v>
      </c>
      <c r="C18" s="399" t="s">
        <v>50</v>
      </c>
      <c r="D18" s="386">
        <f t="shared" si="4"/>
        <v>121</v>
      </c>
      <c r="E18" s="387">
        <v>142</v>
      </c>
      <c r="F18" s="388">
        <f>E18*((1+(0.35*4.1)/100))*((1+(0.35*2.6)/100))*((1+(0.35*3.5)/100))*((1+(0.35*3.8)/100))</f>
        <v>149.08577668552573</v>
      </c>
      <c r="G18" s="389">
        <f>INT(E18*((1+(0.35*3.9)/100))*((1+(0.35*3.7)/100))*((1+(0.35*3.8)/100))*((1+(0.35*3.7)/100))*((1+(0.35*3.4)/100))*((1+(0.35*3.4)/100)))</f>
        <v>153</v>
      </c>
      <c r="H18" s="390">
        <v>450</v>
      </c>
      <c r="I18" s="409">
        <v>4.8499999999999996</v>
      </c>
      <c r="J18" s="431">
        <f t="shared" si="5"/>
        <v>96.390112500000001</v>
      </c>
      <c r="K18" s="431">
        <f t="shared" si="6"/>
        <v>113.11897500000001</v>
      </c>
      <c r="L18" s="435">
        <f t="shared" si="7"/>
        <v>121.88171250000001</v>
      </c>
      <c r="N18" s="194"/>
      <c r="O18" s="194"/>
      <c r="P18" s="194"/>
      <c r="Q18" s="194"/>
    </row>
    <row r="19" spans="2:17">
      <c r="B19" s="1080"/>
      <c r="C19" s="399" t="s">
        <v>51</v>
      </c>
      <c r="D19" s="386">
        <f t="shared" si="4"/>
        <v>174</v>
      </c>
      <c r="E19" s="387">
        <v>204</v>
      </c>
      <c r="F19" s="388">
        <f>E19*((1+(1.07*4.1)/100))*((1+(1.07*2.6)/100))*((1+(1.07*3.5)/100))*((1+(1.07*3.8)/100))</f>
        <v>236.3032446944473</v>
      </c>
      <c r="G19" s="389">
        <f>INT(E19*((1+(1.07*3.9)/100))*((1+(1*3.7)/100))*((1+(1*3.8)/100))*((1+(1*3.7)/100))*((1+(1*3.4)/100))*((1+(1*3.4)/100)))</f>
        <v>253</v>
      </c>
      <c r="H19" s="390">
        <v>900</v>
      </c>
      <c r="I19" s="409">
        <v>4.8499999999999996</v>
      </c>
      <c r="J19" s="431">
        <f t="shared" si="5"/>
        <v>277.22115000000002</v>
      </c>
      <c r="K19" s="431">
        <f t="shared" si="6"/>
        <v>325.01789999999994</v>
      </c>
      <c r="L19" s="435">
        <f t="shared" si="7"/>
        <v>403.08592499999997</v>
      </c>
      <c r="N19" s="194"/>
      <c r="O19" s="194"/>
      <c r="P19" s="194"/>
      <c r="Q19" s="194"/>
    </row>
    <row r="20" spans="2:17">
      <c r="B20" s="1080" t="s">
        <v>52</v>
      </c>
      <c r="C20" s="1081"/>
      <c r="D20" s="386">
        <f t="shared" si="4"/>
        <v>101</v>
      </c>
      <c r="E20" s="387">
        <v>119</v>
      </c>
      <c r="F20" s="388">
        <f>E20*((1+(1*4.1)/100))*((1+(1*2.6)/100))*((1+(1*3.5)/100))*((1+(1*3.8)/100))</f>
        <v>136.54718614781999</v>
      </c>
      <c r="G20" s="389">
        <f>INT(E20*((1+(1.07*3.9)/100))*((1+(1*3.7)/100))*((1+(1*3.8)/100))*((1+(1*3.7)/100))*((1+(1*3.4)/100))*((1+(1*3.4)/100)))</f>
        <v>147</v>
      </c>
      <c r="H20" s="390">
        <v>450</v>
      </c>
      <c r="I20" s="409">
        <v>4.8499999999999996</v>
      </c>
      <c r="J20" s="431">
        <f t="shared" si="5"/>
        <v>80.45786249999999</v>
      </c>
      <c r="K20" s="431">
        <f t="shared" si="6"/>
        <v>94.796887499999983</v>
      </c>
      <c r="L20" s="435">
        <f t="shared" si="7"/>
        <v>117.10203749999999</v>
      </c>
      <c r="N20" s="194"/>
      <c r="O20" s="194"/>
      <c r="P20" s="194"/>
      <c r="Q20" s="194"/>
    </row>
    <row r="21" spans="2:17" ht="15.75" customHeight="1" thickBot="1">
      <c r="B21" s="1082" t="s">
        <v>53</v>
      </c>
      <c r="C21" s="1083"/>
      <c r="D21" s="401">
        <f t="shared" si="4"/>
        <v>3</v>
      </c>
      <c r="E21" s="402">
        <v>4</v>
      </c>
      <c r="F21" s="403">
        <f>E21*((1+(1*4.1)/100))*((1+(1*2.6)/100))*((1+(1*3.5)/100))*((1+(1*3.8)/100))</f>
        <v>4.5898213831199994</v>
      </c>
      <c r="G21" s="404">
        <f>INT(E21*((1+(1.07*3.9)/100))*((1+(1*3.7)/100))*((1+(1*3.8)/100))*((1+(1*3.7)/100))*((1+(1*3.4)/100))*((1+(1*3.4)/100)))</f>
        <v>4</v>
      </c>
      <c r="H21" s="405">
        <v>450</v>
      </c>
      <c r="I21" s="410">
        <v>4.8499999999999996</v>
      </c>
      <c r="J21" s="433">
        <f t="shared" si="5"/>
        <v>2.3898374999999996</v>
      </c>
      <c r="K21" s="433">
        <f t="shared" si="6"/>
        <v>3.1864499999999998</v>
      </c>
      <c r="L21" s="437">
        <f t="shared" si="7"/>
        <v>3.1864499999999998</v>
      </c>
      <c r="N21" s="194"/>
      <c r="O21" s="194"/>
      <c r="P21" s="194"/>
      <c r="Q21" s="194"/>
    </row>
    <row r="22" spans="2:17" ht="15.75" thickBot="1">
      <c r="D22" s="222">
        <f>SUM(D15:D21)</f>
        <v>7665</v>
      </c>
      <c r="E22" s="223">
        <f>SUM(E15:E21)</f>
        <v>8972</v>
      </c>
      <c r="F22" s="222">
        <f>SUM(F15:F21)</f>
        <v>10098.90939931564</v>
      </c>
      <c r="G22" s="225">
        <f>SUM(G15:G21)</f>
        <v>10634</v>
      </c>
      <c r="J22" s="438">
        <f>SUM(J15:J21)</f>
        <v>2703.4461387499996</v>
      </c>
      <c r="K22" s="438">
        <f>SUM(K15:K21)</f>
        <v>3165.8708437499999</v>
      </c>
      <c r="L22" s="439">
        <f>SUM(L15:L21)</f>
        <v>3729.3502699999995</v>
      </c>
      <c r="N22" s="194"/>
      <c r="O22" s="194"/>
      <c r="P22" s="219"/>
      <c r="Q22" s="194"/>
    </row>
    <row r="23" spans="2:17" ht="15.75" thickBot="1">
      <c r="B23" s="188"/>
      <c r="C23" s="189"/>
    </row>
    <row r="24" spans="2:17" ht="48.75" thickBot="1">
      <c r="C24" s="77" t="s">
        <v>248</v>
      </c>
      <c r="D24" s="78" t="s">
        <v>235</v>
      </c>
      <c r="E24" s="192" t="s">
        <v>152</v>
      </c>
      <c r="F24" s="192" t="s">
        <v>231</v>
      </c>
      <c r="G24" s="78" t="s">
        <v>149</v>
      </c>
      <c r="H24" s="78" t="s">
        <v>44</v>
      </c>
      <c r="I24" s="78" t="s">
        <v>45</v>
      </c>
      <c r="J24" s="161" t="s">
        <v>239</v>
      </c>
      <c r="K24" s="161" t="s">
        <v>232</v>
      </c>
      <c r="L24" s="162" t="s">
        <v>151</v>
      </c>
      <c r="M24" s="187"/>
    </row>
    <row r="25" spans="2:17">
      <c r="B25" s="1078" t="s">
        <v>46</v>
      </c>
      <c r="C25" s="1079"/>
      <c r="D25" s="186">
        <f t="shared" ref="D25:D31" si="8">INT(E25/1.17)</f>
        <v>4984</v>
      </c>
      <c r="E25" s="193">
        <v>5832</v>
      </c>
      <c r="F25" s="185">
        <f>E25*((1+(0.9*4.1)/100))*((1+(0.9*2.6)/100))*((1+(0.9*3.5)/100))*((1+(0.9*3.8)/100))</f>
        <v>6601.9703290642155</v>
      </c>
      <c r="G25" s="184">
        <f>INT(E25*((1+(0.9*3.9)/100))*((1+(0.8*3.7)/100))*((1+(0.8*3.8)/100))*((1+(0.8*3.7)/100))*((1+(0.8*3.4)/100))*((1+(0.8*3.4)/100)))</f>
        <v>6957</v>
      </c>
      <c r="H25" s="81">
        <v>155</v>
      </c>
      <c r="I25" s="191">
        <v>2.8</v>
      </c>
      <c r="J25" s="82">
        <f t="shared" ref="J25:J31" si="9">(D25*H25*I25*365)/1000000</f>
        <v>789.51544000000001</v>
      </c>
      <c r="K25" s="82">
        <f>(E25*H25*I25*365)/1000000</f>
        <v>923.84712000000002</v>
      </c>
      <c r="L25" s="83">
        <f>(G25*H25*I25*365)/1000000</f>
        <v>1102.05837</v>
      </c>
      <c r="M25" s="187"/>
    </row>
    <row r="26" spans="2:17">
      <c r="B26" s="1080" t="s">
        <v>47</v>
      </c>
      <c r="C26" s="1081"/>
      <c r="D26" s="386">
        <f t="shared" si="8"/>
        <v>58</v>
      </c>
      <c r="E26" s="387">
        <v>69</v>
      </c>
      <c r="F26" s="388">
        <f>E26*((1+(0.33*4.1)/100))*((1+(0.33*2.6)/100))*((1+(0.33*3.5)/100))*((1+(0.33*3.8)/100))</f>
        <v>72.242970330364784</v>
      </c>
      <c r="G26" s="389">
        <f>INT(E26*((1+(0.9*3.9)/100))*((1+(0.8*3.7)/100))*((1+(0.8*3.8)/100))*((1+(0.8*3.7)/100))*((1+(0.8*3.4)/100))*((1+(0.8*3.4)/100)))</f>
        <v>82</v>
      </c>
      <c r="H26" s="390">
        <v>155</v>
      </c>
      <c r="I26" s="409">
        <v>2.8</v>
      </c>
      <c r="J26" s="391">
        <f t="shared" si="9"/>
        <v>9.1877800000000001</v>
      </c>
      <c r="K26" s="391">
        <f t="shared" ref="K26:K31" si="10">(E26*H26*I26*365)/1000000</f>
        <v>10.930289999999998</v>
      </c>
      <c r="L26" s="392">
        <f t="shared" ref="L26:L31" si="11">(G26*H26*I26*365)/1000000</f>
        <v>12.98962</v>
      </c>
      <c r="M26" s="187"/>
      <c r="N26" s="220"/>
      <c r="O26" s="221"/>
      <c r="P26" s="221"/>
      <c r="Q26" s="221"/>
    </row>
    <row r="27" spans="2:17" ht="15" customHeight="1">
      <c r="B27" s="1080" t="s">
        <v>48</v>
      </c>
      <c r="C27" s="1081"/>
      <c r="D27" s="386">
        <f t="shared" si="8"/>
        <v>363</v>
      </c>
      <c r="E27" s="393">
        <v>425</v>
      </c>
      <c r="F27" s="394">
        <f>E27*((1+(0.33*4.1)/100))*((1+(0.33*2.6)/100))*((1+(0.33*3.5)/100))*((1+(0.33*3.8)/100))</f>
        <v>444.97481725224691</v>
      </c>
      <c r="G27" s="395">
        <f>INT(E27*((1+(0.33*3.9)/100))*((1+(0.33*3.7)/100))*((1+(0.33*3.8)/100))*((1+(0.33*3.7)/100))*((1+(0.33*3.4)/100))*((1+(0.33*3.4)/100)))</f>
        <v>456</v>
      </c>
      <c r="H27" s="396">
        <v>450</v>
      </c>
      <c r="I27" s="409">
        <v>2.8</v>
      </c>
      <c r="J27" s="397">
        <f t="shared" si="9"/>
        <v>166.94370000000001</v>
      </c>
      <c r="K27" s="397">
        <f t="shared" si="10"/>
        <v>195.45750000000001</v>
      </c>
      <c r="L27" s="398">
        <f t="shared" si="11"/>
        <v>209.71440000000001</v>
      </c>
      <c r="M27" s="187"/>
    </row>
    <row r="28" spans="2:17" ht="15" customHeight="1">
      <c r="B28" s="1080" t="s">
        <v>49</v>
      </c>
      <c r="C28" s="399" t="s">
        <v>50</v>
      </c>
      <c r="D28" s="386">
        <f t="shared" si="8"/>
        <v>105</v>
      </c>
      <c r="E28" s="387">
        <v>123</v>
      </c>
      <c r="F28" s="388">
        <f>E28*((1+(0.35*4.1)/100))*((1+(0.35*2.6)/100))*((1+(0.35*3.5)/100))*((1+(0.35*3.8)/100))</f>
        <v>129.13767980506807</v>
      </c>
      <c r="G28" s="389">
        <f>INT(E28*((1+(0.35*3.9)/100))*((1+(0.35*3.7)/100))*((1+(0.35*3.8)/100))*((1+(0.35*3.7)/100))*((1+(0.35*3.4)/100))*((1+(0.35*3.4)/100)))</f>
        <v>132</v>
      </c>
      <c r="H28" s="390">
        <v>450</v>
      </c>
      <c r="I28" s="409">
        <v>2.8</v>
      </c>
      <c r="J28" s="391">
        <f t="shared" si="9"/>
        <v>48.289499999999997</v>
      </c>
      <c r="K28" s="391">
        <f t="shared" si="10"/>
        <v>56.567700000000002</v>
      </c>
      <c r="L28" s="392">
        <f t="shared" si="11"/>
        <v>60.706800000000001</v>
      </c>
      <c r="M28" s="187"/>
    </row>
    <row r="29" spans="2:17">
      <c r="B29" s="1080"/>
      <c r="C29" s="399" t="s">
        <v>51</v>
      </c>
      <c r="D29" s="386">
        <f t="shared" si="8"/>
        <v>164</v>
      </c>
      <c r="E29" s="387">
        <v>192</v>
      </c>
      <c r="F29" s="388">
        <f>E29*((1+(1.07*4.1)/100))*((1+(1.07*2.6)/100))*((1+(1.07*3.5)/100))*((1+(1.07*3.8)/100))</f>
        <v>222.40305383006802</v>
      </c>
      <c r="G29" s="389">
        <f>INT(E29*((1+(1.07*3.9)/100))*((1+(1*3.7)/100))*((1+(1*3.8)/100))*((1+(1*3.7)/100))*((1+(1*3.4)/100))*((1+(1*3.4)/100)))</f>
        <v>238</v>
      </c>
      <c r="H29" s="390">
        <v>900</v>
      </c>
      <c r="I29" s="409">
        <v>2.8</v>
      </c>
      <c r="J29" s="391">
        <f t="shared" si="9"/>
        <v>150.84719999999999</v>
      </c>
      <c r="K29" s="391">
        <f t="shared" si="10"/>
        <v>176.60159999999996</v>
      </c>
      <c r="L29" s="392">
        <f t="shared" si="11"/>
        <v>218.91239999999999</v>
      </c>
      <c r="M29" s="187"/>
    </row>
    <row r="30" spans="2:17">
      <c r="B30" s="1080" t="s">
        <v>52</v>
      </c>
      <c r="C30" s="1081"/>
      <c r="D30" s="386">
        <f t="shared" si="8"/>
        <v>182</v>
      </c>
      <c r="E30" s="387">
        <v>213</v>
      </c>
      <c r="F30" s="388">
        <f>E30*((1+(1*4.1)/100))*((1+(1*2.6)/100))*((1+(1*3.5)/100))*((1+(1*3.8)/100))</f>
        <v>244.40798865113996</v>
      </c>
      <c r="G30" s="389">
        <f>INT(E30*((1+(1.07*3.9)/100))*((1+(1*3.7)/100))*((1+(1*3.8)/100))*((1+(1*3.7)/100))*((1+(1*3.4)/100))*((1+(1*3.4)/100)))</f>
        <v>264</v>
      </c>
      <c r="H30" s="390">
        <v>450</v>
      </c>
      <c r="I30" s="409">
        <v>2.8</v>
      </c>
      <c r="J30" s="391">
        <f t="shared" si="9"/>
        <v>83.701800000000006</v>
      </c>
      <c r="K30" s="391">
        <f t="shared" si="10"/>
        <v>97.958699999999993</v>
      </c>
      <c r="L30" s="392">
        <f t="shared" si="11"/>
        <v>121.4136</v>
      </c>
      <c r="M30" s="187"/>
      <c r="N30" s="194"/>
      <c r="O30" s="194"/>
      <c r="P30" s="194"/>
      <c r="Q30" s="194"/>
    </row>
    <row r="31" spans="2:17" ht="15.75" customHeight="1" thickBot="1">
      <c r="B31" s="1082" t="s">
        <v>53</v>
      </c>
      <c r="C31" s="1083"/>
      <c r="D31" s="401">
        <f t="shared" si="8"/>
        <v>5</v>
      </c>
      <c r="E31" s="402">
        <v>7</v>
      </c>
      <c r="F31" s="403">
        <f>E31*((1+(1*4.1)/100))*((1+(1*2.6)/100))*((1+(1*3.5)/100))*((1+(1*3.8)/100))</f>
        <v>8.0321874204599979</v>
      </c>
      <c r="G31" s="404">
        <f>INT(E31*((1+(1.07*3.9)/100))*((1+(1*3.7)/100))*((1+(1*3.8)/100))*((1+(1*3.7)/100))*((1+(1*3.4)/100))*((1+(1*3.4)/100)))</f>
        <v>8</v>
      </c>
      <c r="H31" s="405">
        <v>450</v>
      </c>
      <c r="I31" s="410">
        <v>2.8</v>
      </c>
      <c r="J31" s="407">
        <f t="shared" si="9"/>
        <v>2.2995000000000001</v>
      </c>
      <c r="K31" s="407">
        <f t="shared" si="10"/>
        <v>3.2193000000000001</v>
      </c>
      <c r="L31" s="408">
        <f t="shared" si="11"/>
        <v>3.6791999999999998</v>
      </c>
      <c r="M31" s="187"/>
      <c r="N31" s="194"/>
      <c r="O31" s="194"/>
      <c r="P31" s="194"/>
      <c r="Q31" s="194"/>
    </row>
    <row r="32" spans="2:17" ht="16.5" customHeight="1" thickBot="1">
      <c r="D32" s="222">
        <f>SUM(D25:D31)</f>
        <v>5861</v>
      </c>
      <c r="E32" s="223">
        <f>SUM(E25:E31)</f>
        <v>6861</v>
      </c>
      <c r="F32" s="222">
        <f>SUM(F25:F31)</f>
        <v>7723.1690263535629</v>
      </c>
      <c r="G32" s="225">
        <f>SUM(G25:G31)</f>
        <v>8137</v>
      </c>
      <c r="J32" s="79">
        <f>SUM(J25:J31)</f>
        <v>1250.7849200000001</v>
      </c>
      <c r="K32" s="79">
        <f>SUM(K25:K31)</f>
        <v>1464.58221</v>
      </c>
      <c r="L32" s="80">
        <f>SUM(L25:L31)</f>
        <v>1729.4743900000001</v>
      </c>
      <c r="M32" s="187"/>
      <c r="N32" s="194"/>
      <c r="O32" s="194"/>
      <c r="P32" s="194"/>
      <c r="Q32" s="194"/>
    </row>
    <row r="33" spans="2:17" ht="15.75" thickBot="1">
      <c r="C33" s="380"/>
      <c r="D33" s="381"/>
      <c r="E33" s="382"/>
      <c r="F33" s="381"/>
      <c r="G33" s="381"/>
      <c r="H33" s="380"/>
      <c r="I33" s="380"/>
      <c r="J33" s="383"/>
      <c r="K33" s="383"/>
      <c r="L33" s="383"/>
      <c r="M33" s="384"/>
      <c r="N33" s="194"/>
      <c r="O33" s="194"/>
      <c r="P33" s="194"/>
      <c r="Q33" s="194"/>
    </row>
    <row r="34" spans="2:17" ht="48.75" thickBot="1">
      <c r="C34" s="77" t="s">
        <v>249</v>
      </c>
      <c r="D34" s="78" t="s">
        <v>150</v>
      </c>
      <c r="E34" s="192" t="s">
        <v>152</v>
      </c>
      <c r="F34" s="78" t="s">
        <v>231</v>
      </c>
      <c r="G34" s="78" t="s">
        <v>149</v>
      </c>
      <c r="H34" s="78" t="s">
        <v>44</v>
      </c>
      <c r="I34" s="78" t="s">
        <v>45</v>
      </c>
      <c r="J34" s="161" t="s">
        <v>239</v>
      </c>
      <c r="K34" s="161" t="s">
        <v>232</v>
      </c>
      <c r="L34" s="162" t="s">
        <v>151</v>
      </c>
      <c r="M34" s="187"/>
      <c r="N34" s="194"/>
      <c r="O34" s="194"/>
      <c r="P34" s="194"/>
      <c r="Q34" s="194"/>
    </row>
    <row r="35" spans="2:17">
      <c r="B35" s="1078" t="s">
        <v>46</v>
      </c>
      <c r="C35" s="1079"/>
      <c r="D35" s="186">
        <f t="shared" ref="D35:D41" si="12">INT(E35/1.17)</f>
        <v>1781</v>
      </c>
      <c r="E35" s="193">
        <v>2084</v>
      </c>
      <c r="F35" s="185">
        <f>E35*((1+(0.9*4.1)/100))*((1+(0.9*2.6)/100))*((1+(0.9*3.5)/100))*((1+(0.9*3.8)/100))</f>
        <v>2359.1402890551826</v>
      </c>
      <c r="G35" s="184">
        <f>INT(E35*((1+(0.9*3.9)/100))*((1+(0.8*3.7)/100))*((1+(0.8*3.8)/100))*((1+(0.8*3.7)/100))*((1+(0.8*3.4)/100))*((1+(0.8*3.4)/100)))</f>
        <v>2486</v>
      </c>
      <c r="H35" s="81">
        <v>155</v>
      </c>
      <c r="I35" s="191">
        <v>0.9</v>
      </c>
      <c r="J35" s="82">
        <f t="shared" ref="J35:J41" si="13">(D35*H35*I35*365)/1000000</f>
        <v>90.684067499999998</v>
      </c>
      <c r="K35" s="82">
        <f>(E35*H35*I35*365)/1000000</f>
        <v>106.11207</v>
      </c>
      <c r="L35" s="83">
        <f>(G35*H35*I35*365)/1000000</f>
        <v>126.580905</v>
      </c>
      <c r="M35" s="187"/>
      <c r="N35" s="194"/>
      <c r="O35" s="194"/>
      <c r="P35" s="194"/>
      <c r="Q35" s="194"/>
    </row>
    <row r="36" spans="2:17">
      <c r="B36" s="1080" t="s">
        <v>47</v>
      </c>
      <c r="C36" s="1081"/>
      <c r="D36" s="386">
        <f t="shared" si="12"/>
        <v>23</v>
      </c>
      <c r="E36" s="387">
        <v>27</v>
      </c>
      <c r="F36" s="388">
        <f>E36*((1+(0.33*4.1)/100))*((1+(0.33*2.6)/100))*((1+(0.33*3.5)/100))*((1+(0.33*3.8)/100))</f>
        <v>28.268988390142741</v>
      </c>
      <c r="G36" s="389">
        <f>INT(E36*((1+(0.9*3.9)/100))*((1+(0.8*3.7)/100))*((1+(0.8*3.8)/100))*((1+(0.8*3.7)/100))*((1+(0.8*3.4)/100))*((1+(0.8*3.4)/100)))</f>
        <v>32</v>
      </c>
      <c r="H36" s="390">
        <v>155</v>
      </c>
      <c r="I36" s="409">
        <v>0.9</v>
      </c>
      <c r="J36" s="391">
        <f t="shared" si="13"/>
        <v>1.1711024999999999</v>
      </c>
      <c r="K36" s="391">
        <f t="shared" ref="K36:K41" si="14">(E36*H36*I36*365)/1000000</f>
        <v>1.3747725</v>
      </c>
      <c r="L36" s="392">
        <f t="shared" ref="L36:L41" si="15">(G36*H36*I36*365)/1000000</f>
        <v>1.6293599999999999</v>
      </c>
      <c r="M36" s="187"/>
      <c r="N36" s="194"/>
      <c r="O36" s="194"/>
      <c r="P36" s="194"/>
      <c r="Q36" s="194"/>
    </row>
    <row r="37" spans="2:17">
      <c r="B37" s="1080" t="s">
        <v>48</v>
      </c>
      <c r="C37" s="1081"/>
      <c r="D37" s="386">
        <f t="shared" si="12"/>
        <v>159</v>
      </c>
      <c r="E37" s="393">
        <v>187</v>
      </c>
      <c r="F37" s="394">
        <f>E37*((1+(0.33*4.1)/100))*((1+(0.33*2.6)/100))*((1+(0.33*3.5)/100))*((1+(0.33*3.8)/100))</f>
        <v>195.78891959098863</v>
      </c>
      <c r="G37" s="395">
        <f>INT(E37*((1+(0.33*3.9)/100))*((1+(0.33*3.7)/100))*((1+(0.33*3.8)/100))*((1+(0.33*3.7)/100))*((1+(0.33*3.4)/100))*((1+(0.33*3.4)/100)))</f>
        <v>200</v>
      </c>
      <c r="H37" s="396">
        <v>450</v>
      </c>
      <c r="I37" s="409">
        <v>0.9</v>
      </c>
      <c r="J37" s="397">
        <f t="shared" si="13"/>
        <v>23.504175</v>
      </c>
      <c r="K37" s="397">
        <f t="shared" si="14"/>
        <v>27.643274999999999</v>
      </c>
      <c r="L37" s="398">
        <f t="shared" si="15"/>
        <v>29.565000000000001</v>
      </c>
      <c r="M37" s="187"/>
      <c r="N37" s="194"/>
      <c r="O37" s="194"/>
      <c r="P37" s="194"/>
      <c r="Q37" s="194"/>
    </row>
    <row r="38" spans="2:17">
      <c r="B38" s="1080" t="s">
        <v>49</v>
      </c>
      <c r="C38" s="399" t="s">
        <v>50</v>
      </c>
      <c r="D38" s="386">
        <f t="shared" si="12"/>
        <v>70</v>
      </c>
      <c r="E38" s="387">
        <v>82</v>
      </c>
      <c r="F38" s="388">
        <f>E38*((1+(0.35*4.1)/100))*((1+(0.35*2.6)/100))*((1+(0.35*3.5)/100))*((1+(0.35*3.8)/100))</f>
        <v>86.09178653671205</v>
      </c>
      <c r="G38" s="389">
        <f>INT(E38*((1+(0.35*3.9)/100))*((1+(0.35*3.7)/100))*((1+(0.35*3.8)/100))*((1+(0.35*3.7)/100))*((1+(0.35*3.4)/100))*((1+(0.35*3.4)/100)))</f>
        <v>88</v>
      </c>
      <c r="H38" s="390">
        <v>450</v>
      </c>
      <c r="I38" s="409">
        <v>0.9</v>
      </c>
      <c r="J38" s="391">
        <f t="shared" si="13"/>
        <v>10.34775</v>
      </c>
      <c r="K38" s="391">
        <f t="shared" si="14"/>
        <v>12.121650000000001</v>
      </c>
      <c r="L38" s="392">
        <f t="shared" si="15"/>
        <v>13.008599999999999</v>
      </c>
      <c r="M38" s="187"/>
      <c r="N38" s="194"/>
      <c r="O38" s="194"/>
      <c r="P38" s="194"/>
      <c r="Q38" s="194"/>
    </row>
    <row r="39" spans="2:17">
      <c r="B39" s="1080"/>
      <c r="C39" s="399" t="s">
        <v>51</v>
      </c>
      <c r="D39" s="386">
        <f t="shared" si="12"/>
        <v>68</v>
      </c>
      <c r="E39" s="387">
        <v>80</v>
      </c>
      <c r="F39" s="388">
        <f>E39*((1+(1.07*4.1)/100))*((1+(1.07*2.6)/100))*((1+(1.07*3.5)/100))*((1+(1.07*3.8)/100))</f>
        <v>92.667939095861669</v>
      </c>
      <c r="G39" s="389">
        <f>INT(E39*((1+(1.07*3.9)/100))*((1+(1*3.7)/100))*((1+(1*3.8)/100))*((1+(1*3.7)/100))*((1+(1*3.4)/100))*((1+(1*2.7)/100)))</f>
        <v>98</v>
      </c>
      <c r="H39" s="390">
        <v>900</v>
      </c>
      <c r="I39" s="409">
        <v>0.9</v>
      </c>
      <c r="J39" s="391">
        <f t="shared" si="13"/>
        <v>20.104199999999999</v>
      </c>
      <c r="K39" s="391">
        <f t="shared" si="14"/>
        <v>23.652000000000001</v>
      </c>
      <c r="L39" s="392">
        <f t="shared" si="15"/>
        <v>28.973700000000001</v>
      </c>
      <c r="M39" s="187"/>
      <c r="N39" s="194"/>
      <c r="O39" s="194"/>
      <c r="P39" s="194"/>
      <c r="Q39" s="194"/>
    </row>
    <row r="40" spans="2:17">
      <c r="B40" s="1080" t="s">
        <v>52</v>
      </c>
      <c r="C40" s="1081"/>
      <c r="D40" s="386">
        <f t="shared" si="12"/>
        <v>18</v>
      </c>
      <c r="E40" s="387">
        <v>22</v>
      </c>
      <c r="F40" s="388">
        <f>E40*((1+(1*4.1)/100))*((1+(1*2.6)/100))*((1+(1*3.5)/100))*((1+(1*3.8)/100))</f>
        <v>25.244017607159996</v>
      </c>
      <c r="G40" s="389">
        <f>INT(E40*((1+(1.07*3.9)/100))*((1+(1*3.7)/100))*((1+(1*3.8)/100))*((1+(1*3.7)/100))*((1+(1*3.4)/100))*((1+(1*3.4)/100)))</f>
        <v>27</v>
      </c>
      <c r="H40" s="390">
        <v>450</v>
      </c>
      <c r="I40" s="409">
        <v>0.9</v>
      </c>
      <c r="J40" s="391">
        <f t="shared" si="13"/>
        <v>2.6608499999999999</v>
      </c>
      <c r="K40" s="391">
        <f t="shared" si="14"/>
        <v>3.2521499999999999</v>
      </c>
      <c r="L40" s="392">
        <f t="shared" si="15"/>
        <v>3.9912749999999999</v>
      </c>
      <c r="M40" s="187"/>
      <c r="N40" s="194"/>
      <c r="O40" s="194"/>
      <c r="P40" s="194"/>
      <c r="Q40" s="194"/>
    </row>
    <row r="41" spans="2:17" ht="15.75" thickBot="1">
      <c r="B41" s="1082" t="s">
        <v>53</v>
      </c>
      <c r="C41" s="1083"/>
      <c r="D41" s="401">
        <f t="shared" si="12"/>
        <v>14</v>
      </c>
      <c r="E41" s="402">
        <v>17</v>
      </c>
      <c r="F41" s="403">
        <f>E41*((1+(1*4.1)/100))*((1+(1*2.6)/100))*((1+(1*3.5)/100))*((1+(1*3.8)/100))</f>
        <v>19.506740878259997</v>
      </c>
      <c r="G41" s="404">
        <f>INT(E41*((1+(1.07*3.9)/100))*((1+(1*3.7)/100))*((1+(1*3.8)/100))*((1+(1*3.7)/100))*((1+(1*3.4)/100))*((1+(1*3.4)/100)))</f>
        <v>21</v>
      </c>
      <c r="H41" s="405">
        <v>450</v>
      </c>
      <c r="I41" s="410">
        <v>0.9</v>
      </c>
      <c r="J41" s="407">
        <f t="shared" si="13"/>
        <v>2.06955</v>
      </c>
      <c r="K41" s="407">
        <f t="shared" si="14"/>
        <v>2.5130249999999998</v>
      </c>
      <c r="L41" s="408">
        <f t="shared" si="15"/>
        <v>3.1043249999999998</v>
      </c>
      <c r="M41" s="187"/>
      <c r="N41" s="194"/>
      <c r="O41" s="194"/>
      <c r="P41" s="194"/>
      <c r="Q41" s="194"/>
    </row>
    <row r="42" spans="2:17" ht="15.75" thickBot="1">
      <c r="D42" s="222">
        <f>SUM(D35:D41)</f>
        <v>2133</v>
      </c>
      <c r="E42" s="223">
        <f>SUM(E35:E41)</f>
        <v>2499</v>
      </c>
      <c r="F42" s="222">
        <f>SUM(F35:F41)</f>
        <v>2806.7086811543077</v>
      </c>
      <c r="G42" s="225">
        <f>SUM(G35:G41)</f>
        <v>2952</v>
      </c>
      <c r="J42" s="79">
        <f>SUM(J35:J41)</f>
        <v>150.541695</v>
      </c>
      <c r="K42" s="79">
        <f>SUM(K35:K41)</f>
        <v>176.66894250000001</v>
      </c>
      <c r="L42" s="80">
        <f>SUM(L35:L41)</f>
        <v>206.85316499999999</v>
      </c>
      <c r="M42" s="187"/>
      <c r="N42" s="194"/>
      <c r="O42" s="194"/>
      <c r="P42" s="194"/>
      <c r="Q42" s="194"/>
    </row>
    <row r="43" spans="2:17" ht="15.75" thickBot="1">
      <c r="C43" s="380"/>
      <c r="D43" s="381"/>
      <c r="E43" s="382"/>
      <c r="F43" s="381"/>
      <c r="G43" s="381"/>
      <c r="H43" s="380"/>
      <c r="I43" s="380"/>
      <c r="J43" s="383"/>
      <c r="K43" s="383"/>
      <c r="L43" s="383"/>
      <c r="M43" s="187"/>
      <c r="N43" s="194"/>
      <c r="O43" s="194"/>
      <c r="P43" s="194"/>
      <c r="Q43" s="194"/>
    </row>
    <row r="44" spans="2:17" ht="48.75" thickBot="1">
      <c r="C44" s="77" t="s">
        <v>250</v>
      </c>
      <c r="D44" s="78" t="s">
        <v>150</v>
      </c>
      <c r="E44" s="192" t="s">
        <v>152</v>
      </c>
      <c r="F44" s="192" t="s">
        <v>231</v>
      </c>
      <c r="G44" s="78" t="s">
        <v>149</v>
      </c>
      <c r="H44" s="78" t="s">
        <v>44</v>
      </c>
      <c r="I44" s="78" t="s">
        <v>45</v>
      </c>
      <c r="J44" s="161" t="s">
        <v>239</v>
      </c>
      <c r="K44" s="161" t="s">
        <v>232</v>
      </c>
      <c r="L44" s="162" t="s">
        <v>151</v>
      </c>
      <c r="M44" s="187"/>
      <c r="N44" s="194"/>
      <c r="O44" s="194"/>
      <c r="P44" s="194"/>
      <c r="Q44" s="194"/>
    </row>
    <row r="45" spans="2:17">
      <c r="B45" s="1078" t="s">
        <v>46</v>
      </c>
      <c r="C45" s="1079"/>
      <c r="D45" s="186">
        <f t="shared" ref="D45:D50" si="16">INT(E45/1.17)</f>
        <v>2227</v>
      </c>
      <c r="E45" s="193">
        <v>2606</v>
      </c>
      <c r="F45" s="185">
        <f>E45*((1+(0.9*4.1)/100))*((1+(0.9*2.6)/100))*((1+(0.9*5)/100))*((1+(0.9*3.8)/100))</f>
        <v>2988.6669595716257</v>
      </c>
      <c r="G45" s="184">
        <f>INT(E45*((1+(0.9*3.9)/100))*((1+(0.8*3.7)/100))*((1+(0.8*3.8)/100))*((1+(0.8*3.7)/100))*((1+(0.8*3.4)/100))*((1+(0.8*3.4)/100)))</f>
        <v>3108</v>
      </c>
      <c r="H45" s="81">
        <v>155</v>
      </c>
      <c r="I45" s="191">
        <v>3.3</v>
      </c>
      <c r="J45" s="430">
        <f t="shared" ref="J45:J51" si="17">(D45*H45*I45*365)/1000000</f>
        <v>415.77533249999999</v>
      </c>
      <c r="K45" s="430">
        <f>(E45*H45*I45*365)/1000000</f>
        <v>486.53368499999999</v>
      </c>
      <c r="L45" s="434">
        <f>(G45*H45*I45*365)/1000000</f>
        <v>580.25582999999995</v>
      </c>
      <c r="M45" s="187"/>
      <c r="N45" s="194"/>
      <c r="O45" s="194"/>
      <c r="P45" s="194"/>
      <c r="Q45" s="194"/>
    </row>
    <row r="46" spans="2:17">
      <c r="B46" s="1080" t="s">
        <v>47</v>
      </c>
      <c r="C46" s="1081"/>
      <c r="D46" s="386">
        <f t="shared" si="16"/>
        <v>17</v>
      </c>
      <c r="E46" s="387">
        <v>20</v>
      </c>
      <c r="F46" s="388">
        <f>E46*((1+(0.33*4.1)/100))*((1+(0.33*2.6)/100))*((1+(0.33*3.5)/100))*((1+(0.33*3.8)/100))</f>
        <v>20.939991400105736</v>
      </c>
      <c r="G46" s="389">
        <f>INT(E46*((1+(0.9*3.9)/100))*((1+(0.8*3.7)/100))*((1+(0.8*3.8)/100))*((1+(0.8*3.7)/100))*((1+(0.8*3.4)/100))*((1+(0.8*3.4)/100)))</f>
        <v>23</v>
      </c>
      <c r="H46" s="390">
        <v>155</v>
      </c>
      <c r="I46" s="409">
        <v>3.3</v>
      </c>
      <c r="J46" s="431">
        <f t="shared" si="17"/>
        <v>3.1738575</v>
      </c>
      <c r="K46" s="431">
        <f t="shared" ref="K46:K51" si="18">(E46*H46*I46*365)/1000000</f>
        <v>3.7339500000000001</v>
      </c>
      <c r="L46" s="435">
        <f t="shared" ref="L46:L51" si="19">(G46*H46*I46*365)/1000000</f>
        <v>4.2940424999999998</v>
      </c>
      <c r="M46" s="187"/>
      <c r="N46" s="194"/>
      <c r="O46" s="194"/>
      <c r="P46" s="194"/>
      <c r="Q46" s="194"/>
    </row>
    <row r="47" spans="2:17">
      <c r="B47" s="1080" t="s">
        <v>48</v>
      </c>
      <c r="C47" s="1081"/>
      <c r="D47" s="386">
        <f t="shared" si="16"/>
        <v>307</v>
      </c>
      <c r="E47" s="393">
        <v>360</v>
      </c>
      <c r="F47" s="394">
        <f>E47*((1+(0.33*4.1)/100))*((1+(0.33*2.6)/100))*((1+(0.33*3.5)/100))*((1+(0.33*3.8)/100))</f>
        <v>376.91984520190329</v>
      </c>
      <c r="G47" s="395">
        <f>INT(E47*((1+(0.33*3.9)/100))*((1+(0.33*3.7)/100))*((1+(0.33*3.8)/100))*((1+(0.33*3.7)/100))*((1+(0.33*3.4)/100))*((1+(0.33*3.4)/100)))</f>
        <v>386</v>
      </c>
      <c r="H47" s="396">
        <v>450</v>
      </c>
      <c r="I47" s="409">
        <v>3.3</v>
      </c>
      <c r="J47" s="432">
        <f t="shared" si="17"/>
        <v>166.40167500000001</v>
      </c>
      <c r="K47" s="432">
        <f t="shared" si="18"/>
        <v>195.12899999999999</v>
      </c>
      <c r="L47" s="436">
        <f t="shared" si="19"/>
        <v>209.22165000000001</v>
      </c>
      <c r="M47" s="187"/>
      <c r="N47" s="194"/>
      <c r="O47" s="194"/>
      <c r="P47" s="194"/>
      <c r="Q47" s="194"/>
    </row>
    <row r="48" spans="2:17">
      <c r="B48" s="1080" t="s">
        <v>49</v>
      </c>
      <c r="C48" s="399" t="s">
        <v>50</v>
      </c>
      <c r="D48" s="386">
        <f t="shared" si="16"/>
        <v>122</v>
      </c>
      <c r="E48" s="387">
        <v>143</v>
      </c>
      <c r="F48" s="388">
        <f>E48*((1+(0.35*4.1)/100))*((1+(0.35*2.6)/100))*((1+(0.35*3.5)/100))*((1+(0.35*3.8)/100))</f>
        <v>150.13567652133929</v>
      </c>
      <c r="G48" s="389">
        <f>INT(E48*((1+(0.35*3.9)/100))*((1+(0.35*3.7)/100))*((1+(0.35*3.8)/100))*((1+(0.35*3.7)/100))*((1+(0.35*3.4)/100))*((1+(0.35*2.7)/100)))</f>
        <v>153</v>
      </c>
      <c r="H48" s="390">
        <v>450</v>
      </c>
      <c r="I48" s="409">
        <v>3.3</v>
      </c>
      <c r="J48" s="431">
        <f t="shared" si="17"/>
        <v>66.127049999999997</v>
      </c>
      <c r="K48" s="431">
        <f t="shared" si="18"/>
        <v>77.509574999999998</v>
      </c>
      <c r="L48" s="435">
        <f t="shared" si="19"/>
        <v>82.929824999999994</v>
      </c>
      <c r="M48" s="187"/>
      <c r="N48" s="194"/>
      <c r="O48" s="194"/>
      <c r="P48" s="194"/>
      <c r="Q48" s="194"/>
    </row>
    <row r="49" spans="2:17">
      <c r="B49" s="1080"/>
      <c r="C49" s="399" t="s">
        <v>51</v>
      </c>
      <c r="D49" s="386">
        <f t="shared" si="16"/>
        <v>170</v>
      </c>
      <c r="E49" s="387">
        <v>200</v>
      </c>
      <c r="F49" s="388">
        <f>E49*((1+(1.07*4.1)/100))*((1+(1.07*2.6)/100))*((1+(1.07*3.5)/100))*((1+(1.07*3.8)/100))</f>
        <v>231.66984773965419</v>
      </c>
      <c r="G49" s="389">
        <f>INT(E49*((1+(1.07*3.9)/100))*((1+(1*3.7)/100))*((1+(1*3.8)/100))*((1+(1*3.7)/100))*((1+(1*3.4)/100))*((1+(1*3.4)/100)))</f>
        <v>248</v>
      </c>
      <c r="H49" s="390">
        <v>900</v>
      </c>
      <c r="I49" s="409">
        <v>3.3</v>
      </c>
      <c r="J49" s="431">
        <f t="shared" si="17"/>
        <v>184.2885</v>
      </c>
      <c r="K49" s="431">
        <f t="shared" si="18"/>
        <v>216.81</v>
      </c>
      <c r="L49" s="435">
        <f t="shared" si="19"/>
        <v>268.84440000000001</v>
      </c>
      <c r="M49" s="187"/>
      <c r="N49" s="194"/>
      <c r="O49" s="194"/>
      <c r="P49" s="194"/>
      <c r="Q49" s="194"/>
    </row>
    <row r="50" spans="2:17">
      <c r="B50" s="1080" t="s">
        <v>52</v>
      </c>
      <c r="C50" s="1081"/>
      <c r="D50" s="386">
        <f t="shared" si="16"/>
        <v>35</v>
      </c>
      <c r="E50" s="387">
        <v>41</v>
      </c>
      <c r="F50" s="388">
        <f>E50*((1+(1*4.1)/100))*((1+(1*2.6)/100))*((1+(1*3.5)/100))*((1+(1*3.8)/100))</f>
        <v>47.045669176979999</v>
      </c>
      <c r="G50" s="389">
        <f>INT(E50*((1+(1.07*3.9)/100))*((1+(1*3.7)/100))*((1+(1*3.8)/100))*((1+(1*3.7)/100))*((1+(1*3.4)/100))*((1+(1*3.4)/100)))</f>
        <v>50</v>
      </c>
      <c r="H50" s="390">
        <v>450</v>
      </c>
      <c r="I50" s="409">
        <v>3.3</v>
      </c>
      <c r="J50" s="431">
        <f t="shared" si="17"/>
        <v>18.970874999999999</v>
      </c>
      <c r="K50" s="431">
        <f t="shared" si="18"/>
        <v>22.223025</v>
      </c>
      <c r="L50" s="435">
        <f t="shared" si="19"/>
        <v>27.10125</v>
      </c>
      <c r="M50" s="187"/>
      <c r="N50" s="194"/>
      <c r="O50" s="194"/>
      <c r="P50" s="194"/>
      <c r="Q50" s="194"/>
    </row>
    <row r="51" spans="2:17" ht="15.75" thickBot="1">
      <c r="B51" s="1082" t="s">
        <v>53</v>
      </c>
      <c r="C51" s="1083"/>
      <c r="D51" s="401">
        <f>INT(E51/1.317)</f>
        <v>18</v>
      </c>
      <c r="E51" s="402">
        <v>24</v>
      </c>
      <c r="F51" s="403">
        <f>E51*((1+(1*4.1)/100))*((1+(1*2.6)/100))*((1+(1*3.5)/100))*((1+(1*3.8)/100))</f>
        <v>27.538928298719998</v>
      </c>
      <c r="G51" s="404">
        <f>INT(E51*((1+(1.07*3.9)/100))*((1+(1*3.7)/100))*((1+(1*3.8)/100))*((1+(1*3.7)/100))*((1+(1*3.4)/100))*((1+(1*3.4)/100)))</f>
        <v>29</v>
      </c>
      <c r="H51" s="405">
        <v>450</v>
      </c>
      <c r="I51" s="410">
        <v>3.3</v>
      </c>
      <c r="J51" s="433">
        <f t="shared" si="17"/>
        <v>9.7564499999999992</v>
      </c>
      <c r="K51" s="433">
        <f t="shared" si="18"/>
        <v>13.008599999999999</v>
      </c>
      <c r="L51" s="437">
        <f t="shared" si="19"/>
        <v>15.718724999999999</v>
      </c>
      <c r="M51" s="187"/>
      <c r="N51" s="194"/>
      <c r="O51" s="194"/>
      <c r="P51" s="194"/>
      <c r="Q51" s="194"/>
    </row>
    <row r="52" spans="2:17" ht="15.75" thickBot="1">
      <c r="D52" s="222">
        <f>SUM(D45:D51)</f>
        <v>2896</v>
      </c>
      <c r="E52" s="223">
        <f>SUM(E45:E51)</f>
        <v>3394</v>
      </c>
      <c r="F52" s="222">
        <f>SUM(F45:F51)</f>
        <v>3842.9169179103278</v>
      </c>
      <c r="G52" s="225">
        <f>SUM(G45:G51)</f>
        <v>3997</v>
      </c>
      <c r="J52" s="438">
        <f>SUM(J45:J51)</f>
        <v>864.49373999999989</v>
      </c>
      <c r="K52" s="438">
        <f>SUM(K45:K51)</f>
        <v>1014.9478350000001</v>
      </c>
      <c r="L52" s="439">
        <f>SUM(L45:L51)</f>
        <v>1188.3657224999997</v>
      </c>
      <c r="N52" s="194"/>
      <c r="O52" s="194"/>
      <c r="P52" s="194"/>
      <c r="Q52" s="194"/>
    </row>
    <row r="53" spans="2:17" ht="15.75" thickBot="1">
      <c r="N53" s="194"/>
      <c r="O53" s="194"/>
      <c r="P53" s="194"/>
      <c r="Q53" s="194"/>
    </row>
    <row r="54" spans="2:17" s="84" customFormat="1" ht="18.75" customHeight="1" thickBot="1">
      <c r="B54" s="418" t="s">
        <v>57</v>
      </c>
      <c r="C54" s="419"/>
      <c r="D54" s="280"/>
      <c r="E54" s="279"/>
      <c r="I54" s="1084" t="s">
        <v>285</v>
      </c>
      <c r="J54" s="1075" t="s">
        <v>286</v>
      </c>
      <c r="K54" s="1076"/>
      <c r="L54" s="1077"/>
    </row>
    <row r="55" spans="2:17" s="84" customFormat="1" ht="45.75" customHeight="1" thickBot="1">
      <c r="B55" s="411" t="s">
        <v>82</v>
      </c>
      <c r="C55" s="412" t="s">
        <v>238</v>
      </c>
      <c r="D55" s="412" t="s">
        <v>234</v>
      </c>
      <c r="E55" s="413" t="s">
        <v>83</v>
      </c>
      <c r="I55" s="1085"/>
      <c r="J55" s="515" t="str">
        <f>J44</f>
        <v>Emisja CO2 [Mg CO2] w 2005 roku</v>
      </c>
      <c r="K55" s="518" t="str">
        <f>K44</f>
        <v>Emisja CO2 [Mg CO2] w 2014 roku</v>
      </c>
      <c r="L55" s="517" t="str">
        <f>L44</f>
        <v>Emisja CO2 [Mg CO2] w 2020 roku - prognoza</v>
      </c>
    </row>
    <row r="56" spans="2:17" s="84" customFormat="1" ht="25.5" customHeight="1">
      <c r="B56" s="414" t="s">
        <v>58</v>
      </c>
      <c r="C56" s="420">
        <f>'Ruch lokalny'!D27</f>
        <v>6692</v>
      </c>
      <c r="D56" s="420">
        <f>'Ruch lokalny'!D59</f>
        <v>11932</v>
      </c>
      <c r="E56" s="516">
        <f>'Ruch lokalny'!D118</f>
        <v>11288</v>
      </c>
      <c r="I56" s="521" t="str">
        <f>C4</f>
        <v>DK 60</v>
      </c>
      <c r="J56" s="523">
        <f>J12</f>
        <v>3490.69137</v>
      </c>
      <c r="K56" s="496">
        <f>K12</f>
        <v>4088.0291999999995</v>
      </c>
      <c r="L56" s="524">
        <f>L12</f>
        <v>4911.6391439999989</v>
      </c>
    </row>
    <row r="57" spans="2:17" s="84" customFormat="1" ht="21.75" customHeight="1">
      <c r="B57" s="427" t="s">
        <v>228</v>
      </c>
      <c r="C57" s="421">
        <f>'Ruch lokalny'!D28</f>
        <v>2710</v>
      </c>
      <c r="D57" s="421">
        <f>'Ruch lokalny'!D60</f>
        <v>11182</v>
      </c>
      <c r="E57" s="422">
        <f>'Ruch lokalny'!D119</f>
        <v>10579</v>
      </c>
      <c r="I57" s="520" t="str">
        <f>C14</f>
        <v>DK 50</v>
      </c>
      <c r="J57" s="525">
        <f>J22</f>
        <v>2703.4461387499996</v>
      </c>
      <c r="K57" s="526">
        <f>K22</f>
        <v>3165.8708437499999</v>
      </c>
      <c r="L57" s="527">
        <f>L22</f>
        <v>3729.3502699999995</v>
      </c>
      <c r="N57" s="195"/>
      <c r="O57" s="195"/>
      <c r="P57" s="195"/>
      <c r="Q57" s="195"/>
    </row>
    <row r="58" spans="2:17" s="84" customFormat="1" ht="27" customHeight="1" thickBot="1">
      <c r="B58" s="428" t="s">
        <v>229</v>
      </c>
      <c r="C58" s="423">
        <f>'Ruch lokalny'!D29</f>
        <v>13050</v>
      </c>
      <c r="D58" s="423">
        <f>'Ruch lokalny'!D61</f>
        <v>13105</v>
      </c>
      <c r="E58" s="424">
        <f>'Ruch lokalny'!D120</f>
        <v>12398</v>
      </c>
      <c r="I58" s="520" t="str">
        <f>C24</f>
        <v>DW 615</v>
      </c>
      <c r="J58" s="528">
        <f>J32</f>
        <v>1250.7849200000001</v>
      </c>
      <c r="K58" s="529">
        <f>K32</f>
        <v>1464.58221</v>
      </c>
      <c r="L58" s="530">
        <f>L32</f>
        <v>1729.4743900000001</v>
      </c>
    </row>
    <row r="59" spans="2:17" s="84" customFormat="1" ht="23.25" customHeight="1" thickBot="1">
      <c r="B59" s="429" t="s">
        <v>13</v>
      </c>
      <c r="C59" s="519">
        <f>SUM(C56:C58)</f>
        <v>22452</v>
      </c>
      <c r="D59" s="425">
        <f>SUM(D56:D58)</f>
        <v>36219</v>
      </c>
      <c r="E59" s="426">
        <f>SUM(E56:E58)</f>
        <v>34265</v>
      </c>
      <c r="H59" s="415"/>
      <c r="I59" s="520" t="str">
        <f>C34</f>
        <v>DW 616</v>
      </c>
      <c r="J59" s="525">
        <f>J42</f>
        <v>150.541695</v>
      </c>
      <c r="K59" s="526">
        <f>K42</f>
        <v>176.66894250000001</v>
      </c>
      <c r="L59" s="527">
        <f>L42</f>
        <v>206.85316499999999</v>
      </c>
    </row>
    <row r="60" spans="2:17" ht="27.75" customHeight="1" thickBot="1">
      <c r="F60" s="416"/>
      <c r="G60" s="417"/>
      <c r="H60" s="417"/>
      <c r="I60" s="522" t="str">
        <f>C44</f>
        <v>DW 617</v>
      </c>
      <c r="J60" s="531">
        <f>J52</f>
        <v>864.49373999999989</v>
      </c>
      <c r="K60" s="532">
        <f>K52</f>
        <v>1014.9478350000001</v>
      </c>
      <c r="L60" s="533">
        <f>L52</f>
        <v>1188.3657224999997</v>
      </c>
    </row>
    <row r="61" spans="2:17" ht="15.75" thickBot="1">
      <c r="B61" s="1086" t="s">
        <v>84</v>
      </c>
      <c r="C61" s="1087"/>
      <c r="D61" s="210"/>
      <c r="E61" s="210"/>
      <c r="J61" s="534">
        <f>SUM(J56:J60)</f>
        <v>8459.9578637499999</v>
      </c>
      <c r="K61" s="534">
        <f>SUM(K56:K60)</f>
        <v>9910.0990312500016</v>
      </c>
      <c r="L61" s="535">
        <f>SUM(L56:L60)</f>
        <v>11765.682691499998</v>
      </c>
    </row>
    <row r="62" spans="2:17" ht="48">
      <c r="B62" s="211"/>
      <c r="C62" s="281" t="s">
        <v>240</v>
      </c>
      <c r="D62" s="281" t="s">
        <v>233</v>
      </c>
      <c r="E62" s="282" t="s">
        <v>161</v>
      </c>
    </row>
    <row r="63" spans="2:17">
      <c r="B63" s="212" t="s">
        <v>55</v>
      </c>
      <c r="C63" s="215">
        <f>J12+J22+J32+J42+J52</f>
        <v>8459.9578637499999</v>
      </c>
      <c r="D63" s="215">
        <f>K12+K22+K32+K42+K52</f>
        <v>9910.0990312500016</v>
      </c>
      <c r="E63" s="216">
        <f>L12+L22+L32+L42+L52</f>
        <v>11765.682691499998</v>
      </c>
    </row>
    <row r="64" spans="2:17" ht="15.75" thickBot="1">
      <c r="B64" s="283" t="s">
        <v>54</v>
      </c>
      <c r="C64" s="217">
        <f>'Ruch lokalny'!L27</f>
        <v>76727.576745041501</v>
      </c>
      <c r="D64" s="217">
        <f>'Ruch lokalny'!L59</f>
        <v>130478.31214791429</v>
      </c>
      <c r="E64" s="218">
        <f>'Ruch lokalny'!L118</f>
        <v>123390.50034015953</v>
      </c>
    </row>
    <row r="65" spans="2:5" ht="15.75" thickBot="1">
      <c r="B65" s="210"/>
      <c r="C65" s="213">
        <f>SUM(C63:C64)</f>
        <v>85187.534608791495</v>
      </c>
      <c r="D65" s="213">
        <f>SUM(D63:D64)</f>
        <v>140388.41117916428</v>
      </c>
      <c r="E65" s="214">
        <f>SUM(E63:E64)</f>
        <v>135156.18303165952</v>
      </c>
    </row>
  </sheetData>
  <mergeCells count="33">
    <mergeCell ref="I54:I55"/>
    <mergeCell ref="B61:C61"/>
    <mergeCell ref="B46:C46"/>
    <mergeCell ref="B47:C47"/>
    <mergeCell ref="B48:B49"/>
    <mergeCell ref="B50:C50"/>
    <mergeCell ref="B51:C51"/>
    <mergeCell ref="B40:C40"/>
    <mergeCell ref="B37:C37"/>
    <mergeCell ref="B38:B39"/>
    <mergeCell ref="B41:C41"/>
    <mergeCell ref="B45:C45"/>
    <mergeCell ref="B35:C35"/>
    <mergeCell ref="B36:C36"/>
    <mergeCell ref="B28:B29"/>
    <mergeCell ref="B30:C30"/>
    <mergeCell ref="B31:C31"/>
    <mergeCell ref="J54:L54"/>
    <mergeCell ref="B5:C5"/>
    <mergeCell ref="B6:C6"/>
    <mergeCell ref="B7:C7"/>
    <mergeCell ref="B8:B9"/>
    <mergeCell ref="B10:C10"/>
    <mergeCell ref="B11:C11"/>
    <mergeCell ref="B15:C15"/>
    <mergeCell ref="B16:C16"/>
    <mergeCell ref="B17:C17"/>
    <mergeCell ref="B18:B19"/>
    <mergeCell ref="B21:C21"/>
    <mergeCell ref="B20:C20"/>
    <mergeCell ref="B25:C25"/>
    <mergeCell ref="B26:C26"/>
    <mergeCell ref="B27:C27"/>
  </mergeCells>
  <pageMargins left="0.70000000000000007" right="0.70000000000000007" top="0.75" bottom="0.75" header="0.30000000000000004" footer="0.30000000000000004"/>
  <pageSetup paperSize="9" scale="54" fitToWidth="0" fitToHeight="0" orientation="landscape" r:id="rId1"/>
  <rowBreaks count="1" manualBreakCount="1">
    <brk id="43" max="1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B1:L39"/>
  <sheetViews>
    <sheetView view="pageBreakPreview" topLeftCell="A3" zoomScaleNormal="100" zoomScaleSheetLayoutView="100" workbookViewId="0">
      <selection activeCell="J4" sqref="J4"/>
    </sheetView>
  </sheetViews>
  <sheetFormatPr defaultRowHeight="15"/>
  <cols>
    <col min="1" max="1" width="2.5" style="13" customWidth="1"/>
    <col min="2" max="2" width="9" style="13"/>
    <col min="3" max="3" width="11.875" style="13" customWidth="1"/>
    <col min="4" max="4" width="13.5" style="13" bestFit="1" customWidth="1"/>
    <col min="5" max="5" width="15.625" style="13" customWidth="1"/>
    <col min="6" max="6" width="13.5" style="13" bestFit="1" customWidth="1"/>
    <col min="7" max="7" width="2.5" style="13" customWidth="1"/>
    <col min="8" max="8" width="9.125" style="13" bestFit="1" customWidth="1"/>
    <col min="9" max="9" width="12.75" style="13" customWidth="1"/>
    <col min="10" max="10" width="13.75" style="13" customWidth="1"/>
    <col min="11" max="11" width="22.125" style="13" customWidth="1"/>
    <col min="12" max="12" width="12.375" style="13" customWidth="1"/>
    <col min="13" max="13" width="9" style="13" customWidth="1"/>
    <col min="14" max="14" width="11.625" style="13" customWidth="1"/>
    <col min="15" max="15" width="9" style="13" customWidth="1"/>
    <col min="16" max="18" width="11.625" style="13" customWidth="1"/>
    <col min="19" max="19" width="9" style="13" customWidth="1"/>
    <col min="20" max="16384" width="9" style="13"/>
  </cols>
  <sheetData>
    <row r="1" spans="2:12" s="20" customFormat="1" ht="15" customHeight="1" thickBot="1"/>
    <row r="2" spans="2:12" s="20" customFormat="1" ht="19.5" thickBot="1">
      <c r="B2" s="21" t="s">
        <v>85</v>
      </c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2:12" s="20" customFormat="1" ht="18.75"/>
    <row r="4" spans="2:12" s="20" customFormat="1" ht="15" customHeight="1"/>
    <row r="39" ht="11.25" customHeight="1"/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2" manualBreakCount="2">
    <brk id="39" max="11" man="1"/>
    <brk id="74" max="11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W66"/>
  <sheetViews>
    <sheetView showGridLines="0" view="pageBreakPreview" topLeftCell="A19" zoomScale="86" zoomScaleNormal="100" zoomScaleSheetLayoutView="86" workbookViewId="0">
      <selection activeCell="E20" sqref="E20:J26"/>
    </sheetView>
  </sheetViews>
  <sheetFormatPr defaultRowHeight="15"/>
  <cols>
    <col min="1" max="1" width="2.5" style="13" customWidth="1"/>
    <col min="2" max="2" width="23.25" style="13" customWidth="1"/>
    <col min="3" max="3" width="17.5" style="13" customWidth="1"/>
    <col min="4" max="4" width="2.5" style="13" customWidth="1"/>
    <col min="5" max="5" width="18" style="13" customWidth="1"/>
    <col min="6" max="6" width="18.75" style="13" customWidth="1"/>
    <col min="7" max="8" width="18.625" style="13" customWidth="1"/>
    <col min="9" max="9" width="16.375" style="13" customWidth="1"/>
    <col min="10" max="10" width="16.25" style="13" customWidth="1"/>
    <col min="11" max="11" width="6.25" style="13" customWidth="1"/>
    <col min="12" max="12" width="18" style="13" customWidth="1"/>
    <col min="13" max="13" width="13.5" style="13" bestFit="1" customWidth="1"/>
    <col min="14" max="14" width="13.75" style="13" customWidth="1"/>
    <col min="15" max="15" width="20.5" style="13" customWidth="1"/>
    <col min="16" max="16" width="22.25" style="13" customWidth="1"/>
    <col min="17" max="17" width="20.25" style="13" customWidth="1"/>
    <col min="18" max="18" width="16.25" style="13" customWidth="1"/>
    <col min="19" max="19" width="13.25" style="13" customWidth="1"/>
    <col min="20" max="20" width="9" style="13" customWidth="1"/>
    <col min="21" max="22" width="9" style="13"/>
    <col min="23" max="23" width="13.75" style="13" bestFit="1" customWidth="1"/>
    <col min="24" max="16384" width="9" style="13"/>
  </cols>
  <sheetData>
    <row r="1" spans="2:23" s="20" customFormat="1" ht="15" customHeight="1" thickBot="1">
      <c r="K1" s="13"/>
    </row>
    <row r="2" spans="2:23" s="20" customFormat="1" ht="19.5" thickBot="1">
      <c r="B2" s="21" t="s">
        <v>90</v>
      </c>
      <c r="C2" s="22"/>
      <c r="D2" s="22"/>
      <c r="E2" s="22"/>
      <c r="F2" s="22"/>
      <c r="G2" s="22"/>
      <c r="H2" s="22"/>
      <c r="I2" s="22"/>
      <c r="J2" s="23"/>
      <c r="K2" s="13"/>
      <c r="L2" s="163"/>
      <c r="M2" s="163"/>
      <c r="N2" s="163"/>
    </row>
    <row r="3" spans="2:23" ht="15.75" thickBot="1"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</row>
    <row r="4" spans="2:23" ht="45.75" thickBot="1">
      <c r="B4" s="1088" t="s">
        <v>93</v>
      </c>
      <c r="C4" s="1089"/>
      <c r="E4" s="107">
        <v>2005</v>
      </c>
      <c r="F4" s="55" t="s">
        <v>91</v>
      </c>
      <c r="G4" s="87" t="s">
        <v>103</v>
      </c>
      <c r="H4" s="576" t="s">
        <v>300</v>
      </c>
      <c r="I4" s="108" t="s">
        <v>99</v>
      </c>
      <c r="J4" s="109" t="s">
        <v>24</v>
      </c>
      <c r="L4" s="28"/>
      <c r="M4" s="27"/>
      <c r="N4" s="28"/>
      <c r="O4" s="28"/>
      <c r="P4" s="28"/>
      <c r="Q4" s="28"/>
      <c r="R4" s="28"/>
      <c r="S4" s="308"/>
      <c r="T4" s="309"/>
      <c r="U4" s="309"/>
      <c r="V4" s="309"/>
      <c r="W4" s="28"/>
    </row>
    <row r="5" spans="2:23">
      <c r="B5" s="103" t="s">
        <v>98</v>
      </c>
      <c r="C5" s="266">
        <v>0.22717414899999999</v>
      </c>
      <c r="E5" s="98" t="str">
        <f>B5</f>
        <v>ciepło systemowe</v>
      </c>
      <c r="F5" s="266">
        <v>0.42499999999999999</v>
      </c>
      <c r="G5" s="121">
        <f>G43</f>
        <v>512025.22</v>
      </c>
      <c r="H5" s="121">
        <f>G5/3.6</f>
        <v>142229.22777777776</v>
      </c>
      <c r="I5" s="122">
        <v>9.4E-2</v>
      </c>
      <c r="J5" s="123">
        <f>G5*I5</f>
        <v>48130.37068</v>
      </c>
      <c r="L5" s="28"/>
      <c r="M5" s="27"/>
      <c r="N5" s="28"/>
      <c r="O5" s="28"/>
      <c r="P5" s="28"/>
      <c r="Q5" s="28"/>
      <c r="R5" s="28"/>
      <c r="S5" s="308"/>
      <c r="T5" s="309"/>
      <c r="U5" s="309"/>
      <c r="V5" s="309"/>
      <c r="W5" s="28"/>
    </row>
    <row r="6" spans="2:23">
      <c r="B6" s="104" t="s">
        <v>7</v>
      </c>
      <c r="C6" s="119">
        <v>0.19240696639999999</v>
      </c>
      <c r="E6" s="99" t="str">
        <f>B6</f>
        <v>gaz</v>
      </c>
      <c r="F6" s="119">
        <v>0.125</v>
      </c>
      <c r="G6" s="124">
        <f>F6*G10</f>
        <v>150595.6525</v>
      </c>
      <c r="H6" s="580">
        <f>G6/3.6</f>
        <v>41832.125694444439</v>
      </c>
      <c r="I6" s="125">
        <v>5.5E-2</v>
      </c>
      <c r="J6" s="126">
        <f>G6*I6</f>
        <v>8282.7608875000005</v>
      </c>
      <c r="L6" s="323"/>
      <c r="M6" s="27"/>
      <c r="N6" s="28"/>
      <c r="O6" s="28"/>
      <c r="P6" s="28"/>
      <c r="Q6" s="28"/>
      <c r="R6" s="28"/>
      <c r="S6" s="308"/>
      <c r="T6" s="309"/>
      <c r="U6" s="309"/>
      <c r="V6" s="309"/>
      <c r="W6" s="28"/>
    </row>
    <row r="7" spans="2:23">
      <c r="B7" s="104" t="s">
        <v>97</v>
      </c>
      <c r="C7" s="119">
        <v>0.499118846</v>
      </c>
      <c r="E7" s="100" t="str">
        <f>B7</f>
        <v>węgiel i ekogroszek</v>
      </c>
      <c r="F7" s="119">
        <v>0.40799999999999997</v>
      </c>
      <c r="G7" s="124">
        <f>F7*G10</f>
        <v>491544.20975999994</v>
      </c>
      <c r="H7" s="580">
        <f>G7/3.6</f>
        <v>136540.05826666666</v>
      </c>
      <c r="I7" s="125">
        <v>9.8000000000000004E-2</v>
      </c>
      <c r="J7" s="126">
        <f>G7*I7</f>
        <v>48171.332556479996</v>
      </c>
      <c r="L7" s="28"/>
      <c r="M7" s="27"/>
      <c r="N7" s="28"/>
      <c r="O7" s="28"/>
      <c r="P7" s="28"/>
      <c r="Q7" s="28"/>
      <c r="R7" s="28"/>
      <c r="S7" s="308"/>
      <c r="T7" s="309"/>
      <c r="U7" s="309"/>
      <c r="V7" s="309"/>
      <c r="W7" s="28"/>
    </row>
    <row r="8" spans="2:23">
      <c r="B8" s="104" t="s">
        <v>102</v>
      </c>
      <c r="C8" s="119">
        <v>4.9299999999999997E-2</v>
      </c>
      <c r="E8" s="99" t="str">
        <f>B8</f>
        <v>en. elektryczna</v>
      </c>
      <c r="F8" s="119">
        <v>0.03</v>
      </c>
      <c r="G8" s="124">
        <f>F8*G10</f>
        <v>36142.956599999998</v>
      </c>
      <c r="H8" s="580">
        <f>G8/3.6</f>
        <v>10039.710166666666</v>
      </c>
      <c r="I8" s="125">
        <v>0.22600000000000001</v>
      </c>
      <c r="J8" s="126">
        <f>G8*I8</f>
        <v>8168.3081916000001</v>
      </c>
      <c r="L8" s="28"/>
      <c r="M8" s="27"/>
      <c r="N8" s="28"/>
      <c r="O8" s="28"/>
      <c r="P8" s="28"/>
      <c r="Q8" s="28"/>
      <c r="R8" s="28"/>
      <c r="S8" s="308"/>
      <c r="T8" s="309"/>
      <c r="U8" s="309"/>
      <c r="V8" s="309"/>
      <c r="W8" s="28"/>
    </row>
    <row r="9" spans="2:23" ht="15.75" thickBot="1">
      <c r="B9" s="105" t="s">
        <v>92</v>
      </c>
      <c r="C9" s="120">
        <v>3.2000000000000001E-2</v>
      </c>
      <c r="E9" s="101" t="str">
        <f>B9</f>
        <v>olej opałowy</v>
      </c>
      <c r="F9" s="120">
        <v>1.2E-2</v>
      </c>
      <c r="G9" s="127">
        <f>F9*G10</f>
        <v>14457.182639999999</v>
      </c>
      <c r="H9" s="581">
        <f>G9/3.6</f>
        <v>4015.8840666666665</v>
      </c>
      <c r="I9" s="128">
        <v>7.5999999999999998E-2</v>
      </c>
      <c r="J9" s="129">
        <f>G9*I9</f>
        <v>1098.74588064</v>
      </c>
      <c r="L9" s="28"/>
      <c r="M9" s="27"/>
      <c r="N9" s="28"/>
      <c r="O9" s="28"/>
      <c r="P9" s="28"/>
      <c r="Q9" s="28"/>
      <c r="R9" s="28"/>
      <c r="S9" s="308"/>
      <c r="T9" s="309"/>
      <c r="U9" s="309"/>
      <c r="V9" s="309"/>
      <c r="W9" s="28"/>
    </row>
    <row r="10" spans="2:23" ht="15.75" thickBot="1">
      <c r="B10" s="106"/>
      <c r="C10" s="111">
        <f>SUM(C5:C9)</f>
        <v>0.99999996140000003</v>
      </c>
      <c r="E10" s="110" t="s">
        <v>13</v>
      </c>
      <c r="F10" s="102"/>
      <c r="G10" s="110">
        <f>C14</f>
        <v>1204765.22</v>
      </c>
      <c r="H10" s="585">
        <f>SUM(H5:H9)</f>
        <v>334657.00597222213</v>
      </c>
      <c r="I10" s="289"/>
      <c r="J10" s="110">
        <f>SUM(J5:J9)</f>
        <v>113851.51819621999</v>
      </c>
      <c r="L10" s="28"/>
      <c r="M10" s="27"/>
      <c r="N10" s="28"/>
      <c r="O10" s="28"/>
      <c r="P10" s="28"/>
      <c r="Q10" s="28"/>
      <c r="R10" s="28"/>
      <c r="S10" s="27"/>
      <c r="T10" s="27"/>
      <c r="U10" s="27"/>
      <c r="V10" s="27"/>
      <c r="W10" s="28"/>
    </row>
    <row r="11" spans="2:23" ht="15.75" thickBot="1">
      <c r="F11" s="290"/>
      <c r="I11" s="291"/>
      <c r="L11" s="28"/>
      <c r="M11" s="27"/>
      <c r="N11" s="28"/>
      <c r="O11" s="28"/>
      <c r="P11" s="28"/>
      <c r="Q11" s="28"/>
      <c r="R11" s="28"/>
      <c r="S11" s="27"/>
      <c r="T11" s="27"/>
      <c r="U11" s="27"/>
      <c r="V11" s="27"/>
      <c r="W11" s="28"/>
    </row>
    <row r="12" spans="2:23" ht="44.25" customHeight="1" thickBot="1">
      <c r="B12" s="1090" t="s">
        <v>94</v>
      </c>
      <c r="C12" s="1091"/>
      <c r="E12" s="107">
        <v>2014</v>
      </c>
      <c r="F12" s="55" t="s">
        <v>91</v>
      </c>
      <c r="G12" s="87" t="s">
        <v>103</v>
      </c>
      <c r="H12" s="576" t="str">
        <f>H4</f>
        <v>Potrzeby cieplne zaspokajane z danego rodzaju paliwa [MWh]</v>
      </c>
      <c r="I12" s="108" t="s">
        <v>99</v>
      </c>
      <c r="J12" s="109" t="s">
        <v>24</v>
      </c>
      <c r="L12" s="28"/>
      <c r="M12" s="27"/>
      <c r="N12" s="28"/>
      <c r="O12" s="28"/>
      <c r="P12" s="28"/>
      <c r="Q12" s="28"/>
      <c r="R12" s="28"/>
      <c r="S12" s="27"/>
      <c r="T12" s="27"/>
      <c r="U12" s="27"/>
      <c r="V12" s="27"/>
      <c r="W12" s="28"/>
    </row>
    <row r="13" spans="2:23" ht="24" customHeight="1">
      <c r="B13" s="112" t="s">
        <v>96</v>
      </c>
      <c r="C13" s="113">
        <v>0.82099999999999995</v>
      </c>
      <c r="E13" s="98" t="str">
        <f t="shared" ref="E13:F15" si="0">B5</f>
        <v>ciepło systemowe</v>
      </c>
      <c r="F13" s="266">
        <f t="shared" si="0"/>
        <v>0.22717414899999999</v>
      </c>
      <c r="G13" s="121">
        <v>290694.59000000003</v>
      </c>
      <c r="H13" s="121">
        <f>G13/3.6</f>
        <v>80748.497222222228</v>
      </c>
      <c r="I13" s="122">
        <v>9.4E-2</v>
      </c>
      <c r="J13" s="123">
        <f>G13*I13</f>
        <v>27325.291460000004</v>
      </c>
      <c r="L13" s="28"/>
      <c r="M13" s="27"/>
      <c r="N13" s="28"/>
      <c r="O13" s="28"/>
      <c r="P13" s="28"/>
      <c r="Q13" s="28"/>
      <c r="R13" s="28"/>
      <c r="S13" s="27"/>
      <c r="T13" s="27"/>
      <c r="U13" s="27"/>
      <c r="V13" s="27"/>
      <c r="W13" s="28"/>
    </row>
    <row r="14" spans="2:23" ht="30">
      <c r="B14" s="114" t="s">
        <v>213</v>
      </c>
      <c r="C14" s="115">
        <v>1204765.22</v>
      </c>
      <c r="E14" s="99" t="str">
        <f t="shared" si="0"/>
        <v>gaz</v>
      </c>
      <c r="F14" s="119">
        <f t="shared" si="0"/>
        <v>0.19240696639999999</v>
      </c>
      <c r="G14" s="124">
        <f>F14*G18</f>
        <v>246206.11301160298</v>
      </c>
      <c r="H14" s="580">
        <f>G14/3.6</f>
        <v>68390.5869476675</v>
      </c>
      <c r="I14" s="125">
        <v>5.5E-2</v>
      </c>
      <c r="J14" s="126">
        <f>G14*I14</f>
        <v>13541.336215638165</v>
      </c>
      <c r="L14" s="28"/>
      <c r="M14" s="560"/>
      <c r="N14" s="28"/>
      <c r="O14" s="28"/>
      <c r="P14" s="28"/>
      <c r="Q14" s="28"/>
      <c r="R14" s="28"/>
      <c r="S14" s="27"/>
      <c r="T14" s="27"/>
      <c r="U14" s="27"/>
      <c r="V14" s="27"/>
      <c r="W14" s="28"/>
    </row>
    <row r="15" spans="2:23" ht="45">
      <c r="B15" s="114" t="s">
        <v>482</v>
      </c>
      <c r="C15" s="116">
        <v>1279611.22</v>
      </c>
      <c r="E15" s="100" t="str">
        <f t="shared" si="0"/>
        <v>węgiel i ekogroszek</v>
      </c>
      <c r="F15" s="119">
        <f t="shared" si="0"/>
        <v>0.499118846</v>
      </c>
      <c r="G15" s="124">
        <f>F15*G18</f>
        <v>638678.07545505208</v>
      </c>
      <c r="H15" s="580">
        <f>G15/3.6</f>
        <v>177410.57651529225</v>
      </c>
      <c r="I15" s="125">
        <v>9.8000000000000004E-2</v>
      </c>
      <c r="J15" s="126">
        <f>G15*I15</f>
        <v>62590.451394595104</v>
      </c>
      <c r="L15" s="28"/>
      <c r="M15" s="28"/>
      <c r="N15" s="28"/>
      <c r="O15" s="28"/>
      <c r="P15" s="28"/>
      <c r="Q15" s="28"/>
      <c r="R15" s="28"/>
      <c r="S15" s="27"/>
      <c r="T15" s="27"/>
      <c r="U15" s="27"/>
      <c r="V15" s="27"/>
      <c r="W15" s="28"/>
    </row>
    <row r="16" spans="2:23" ht="45">
      <c r="B16" s="706" t="s">
        <v>481</v>
      </c>
      <c r="C16" s="707">
        <f>C15/Charakterystyka!Q67*Charakterystyka!T67</f>
        <v>1313958.3487608063</v>
      </c>
      <c r="E16" s="99" t="str">
        <f>B8</f>
        <v>en. elektryczna</v>
      </c>
      <c r="F16" s="119">
        <v>4.9299999999999997E-2</v>
      </c>
      <c r="G16" s="124">
        <f>F16*G18+0.05</f>
        <v>63084.883146</v>
      </c>
      <c r="H16" s="580">
        <f>G16/3.6</f>
        <v>17523.578651666667</v>
      </c>
      <c r="I16" s="125">
        <v>0.22600000000000001</v>
      </c>
      <c r="J16" s="126">
        <f>G16*I16</f>
        <v>14257.183590996001</v>
      </c>
      <c r="L16" s="28"/>
      <c r="M16" s="28"/>
      <c r="N16" s="28"/>
      <c r="O16" s="28"/>
      <c r="P16" s="28"/>
      <c r="Q16" s="28"/>
      <c r="R16" s="28"/>
      <c r="S16" s="27"/>
      <c r="T16" s="27"/>
      <c r="U16" s="27"/>
      <c r="V16" s="27"/>
      <c r="W16" s="28"/>
    </row>
    <row r="17" spans="2:23" ht="30.75" thickBot="1">
      <c r="B17" s="117" t="s">
        <v>95</v>
      </c>
      <c r="C17" s="118">
        <v>1384575.79</v>
      </c>
      <c r="E17" s="101" t="str">
        <f>B9</f>
        <v>olej opałowy</v>
      </c>
      <c r="F17" s="120">
        <f>C9</f>
        <v>3.2000000000000001E-2</v>
      </c>
      <c r="G17" s="127">
        <f>F17*G18</f>
        <v>40947.55904</v>
      </c>
      <c r="H17" s="581">
        <f>G17/3.6</f>
        <v>11374.321955555555</v>
      </c>
      <c r="I17" s="128">
        <v>7.5999999999999998E-2</v>
      </c>
      <c r="J17" s="129">
        <f>G17*I17</f>
        <v>3112.0144870399999</v>
      </c>
      <c r="L17" s="28"/>
      <c r="M17" s="27"/>
      <c r="N17" s="28"/>
      <c r="O17" s="28"/>
      <c r="P17" s="28"/>
      <c r="Q17" s="28"/>
      <c r="R17" s="28"/>
      <c r="S17" s="28"/>
      <c r="T17" s="27"/>
      <c r="U17" s="27"/>
      <c r="V17" s="27"/>
      <c r="W17" s="28"/>
    </row>
    <row r="18" spans="2:23" ht="15.75" thickBot="1">
      <c r="E18" s="110" t="s">
        <v>13</v>
      </c>
      <c r="F18" s="102"/>
      <c r="G18" s="110">
        <f>C15</f>
        <v>1279611.22</v>
      </c>
      <c r="H18" s="585">
        <f>SUM(H13:H17)</f>
        <v>355447.56129240419</v>
      </c>
      <c r="I18" s="102"/>
      <c r="J18" s="110">
        <f>SUM(J13:J17)</f>
        <v>120826.27714826928</v>
      </c>
      <c r="L18" s="28"/>
      <c r="M18" s="27"/>
      <c r="N18" s="28"/>
      <c r="O18" s="28"/>
      <c r="P18" s="28"/>
      <c r="Q18" s="28"/>
      <c r="R18" s="28"/>
      <c r="S18" s="28"/>
      <c r="T18" s="27"/>
      <c r="U18" s="27"/>
      <c r="V18" s="27"/>
      <c r="W18" s="28"/>
    </row>
    <row r="19" spans="2:23" ht="15.75" thickBot="1">
      <c r="L19" s="28"/>
      <c r="M19" s="27"/>
      <c r="N19" s="28"/>
      <c r="O19" s="28"/>
      <c r="P19" s="28"/>
      <c r="Q19" s="28"/>
      <c r="R19" s="28"/>
      <c r="S19" s="27"/>
      <c r="T19" s="27"/>
      <c r="U19" s="27"/>
      <c r="V19" s="27"/>
      <c r="W19" s="28"/>
    </row>
    <row r="20" spans="2:23" ht="45.75" thickBot="1">
      <c r="E20" s="708" t="s">
        <v>479</v>
      </c>
      <c r="F20" s="765" t="s">
        <v>91</v>
      </c>
      <c r="G20" s="709" t="s">
        <v>103</v>
      </c>
      <c r="H20" s="709" t="str">
        <f>H12</f>
        <v>Potrzeby cieplne zaspokajane z danego rodzaju paliwa [MWh]</v>
      </c>
      <c r="I20" s="710" t="s">
        <v>480</v>
      </c>
      <c r="J20" s="711" t="s">
        <v>476</v>
      </c>
      <c r="L20" s="28"/>
      <c r="M20" s="27"/>
      <c r="N20" s="28"/>
      <c r="O20" s="28"/>
      <c r="P20" s="28"/>
      <c r="Q20" s="28"/>
      <c r="R20" s="28"/>
      <c r="S20" s="27"/>
      <c r="T20" s="27"/>
      <c r="U20" s="27"/>
      <c r="V20" s="27"/>
      <c r="W20" s="28"/>
    </row>
    <row r="21" spans="2:23">
      <c r="E21" s="769" t="s">
        <v>98</v>
      </c>
      <c r="F21" s="766">
        <f>C5</f>
        <v>0.22717414899999999</v>
      </c>
      <c r="G21" s="712">
        <v>290694.59000000003</v>
      </c>
      <c r="H21" s="713">
        <f>G21/3.6</f>
        <v>80748.497222222228</v>
      </c>
      <c r="I21" s="714">
        <v>9.4E-2</v>
      </c>
      <c r="J21" s="715">
        <f>G21*I21</f>
        <v>27325.291460000004</v>
      </c>
      <c r="L21" s="28"/>
      <c r="M21" s="27"/>
      <c r="N21" s="28"/>
      <c r="O21" s="28"/>
      <c r="P21" s="28"/>
      <c r="Q21" s="28"/>
      <c r="R21" s="28"/>
      <c r="S21" s="27"/>
      <c r="T21" s="27"/>
      <c r="U21" s="27"/>
      <c r="V21" s="27"/>
      <c r="W21" s="28"/>
    </row>
    <row r="22" spans="2:23">
      <c r="E22" s="770" t="s">
        <v>7</v>
      </c>
      <c r="F22" s="767">
        <f t="shared" ref="F22:F25" si="1">C6</f>
        <v>0.19240696639999999</v>
      </c>
      <c r="G22" s="716">
        <f>F22*G26</f>
        <v>252814.73986101992</v>
      </c>
      <c r="H22" s="717">
        <f>G22/3.6</f>
        <v>70226.316628061089</v>
      </c>
      <c r="I22" s="718">
        <v>5.5E-2</v>
      </c>
      <c r="J22" s="719">
        <f>G22*I22</f>
        <v>13904.810692356095</v>
      </c>
      <c r="L22" s="28"/>
      <c r="M22" s="27"/>
      <c r="N22" s="28"/>
      <c r="O22" s="28"/>
      <c r="P22" s="28"/>
      <c r="Q22" s="28"/>
      <c r="R22" s="28"/>
      <c r="S22" s="27"/>
      <c r="T22" s="27"/>
      <c r="U22" s="27"/>
      <c r="V22" s="27"/>
      <c r="W22" s="28"/>
    </row>
    <row r="23" spans="2:23">
      <c r="E23" s="771" t="s">
        <v>97</v>
      </c>
      <c r="F23" s="767">
        <f t="shared" si="1"/>
        <v>0.499118846</v>
      </c>
      <c r="G23" s="716">
        <f>F23*G26</f>
        <v>655821.37472555914</v>
      </c>
      <c r="H23" s="717">
        <f>G23/3.6</f>
        <v>182172.6040904331</v>
      </c>
      <c r="I23" s="718">
        <v>9.8000000000000004E-2</v>
      </c>
      <c r="J23" s="719">
        <f>G23*I23</f>
        <v>64270.494723104799</v>
      </c>
      <c r="L23" s="28"/>
      <c r="M23" s="27"/>
      <c r="N23" s="28"/>
      <c r="O23" s="28"/>
      <c r="P23" s="28"/>
      <c r="Q23" s="28"/>
      <c r="R23" s="28"/>
      <c r="S23" s="27"/>
      <c r="T23" s="27"/>
      <c r="U23" s="27"/>
      <c r="V23" s="27"/>
      <c r="W23" s="28"/>
    </row>
    <row r="24" spans="2:23">
      <c r="E24" s="770" t="s">
        <v>102</v>
      </c>
      <c r="F24" s="767">
        <f t="shared" si="1"/>
        <v>4.9299999999999997E-2</v>
      </c>
      <c r="G24" s="716">
        <f>F24*G26+0.05</f>
        <v>64778.196593907749</v>
      </c>
      <c r="H24" s="717">
        <f>G24/3.6</f>
        <v>17993.943498307708</v>
      </c>
      <c r="I24" s="718">
        <v>0.22600000000000001</v>
      </c>
      <c r="J24" s="719">
        <f>G24*I24</f>
        <v>14639.872430223151</v>
      </c>
      <c r="L24" s="28"/>
      <c r="M24" s="27"/>
      <c r="N24" s="28"/>
      <c r="O24" s="28"/>
      <c r="P24" s="28"/>
      <c r="Q24" s="28"/>
      <c r="R24" s="28"/>
      <c r="S24" s="27"/>
      <c r="T24" s="27"/>
      <c r="U24" s="27"/>
      <c r="V24" s="27"/>
      <c r="W24" s="28"/>
    </row>
    <row r="25" spans="2:23" ht="15.75" thickBot="1">
      <c r="E25" s="772" t="s">
        <v>92</v>
      </c>
      <c r="F25" s="768">
        <f t="shared" si="1"/>
        <v>3.2000000000000001E-2</v>
      </c>
      <c r="G25" s="720">
        <f>F25*G26</f>
        <v>42046.667160345802</v>
      </c>
      <c r="H25" s="721">
        <f>G25/3.6</f>
        <v>11679.629766762722</v>
      </c>
      <c r="I25" s="722">
        <v>7.5999999999999998E-2</v>
      </c>
      <c r="J25" s="723">
        <f>G25*I25</f>
        <v>3195.5467041862807</v>
      </c>
      <c r="L25" s="28"/>
      <c r="M25" s="27"/>
      <c r="N25" s="28"/>
      <c r="O25" s="28"/>
      <c r="P25" s="28"/>
      <c r="Q25" s="28"/>
      <c r="R25" s="28"/>
      <c r="S25" s="27"/>
      <c r="T25" s="27"/>
      <c r="U25" s="27"/>
      <c r="V25" s="27"/>
      <c r="W25" s="28"/>
    </row>
    <row r="26" spans="2:23" ht="15.75" thickBot="1">
      <c r="E26" s="724" t="s">
        <v>13</v>
      </c>
      <c r="F26" s="725"/>
      <c r="G26" s="724">
        <f>C16</f>
        <v>1313958.3487608063</v>
      </c>
      <c r="H26" s="724">
        <f>SUM(H21:H25)</f>
        <v>362820.99120578688</v>
      </c>
      <c r="I26" s="725"/>
      <c r="J26" s="724">
        <f>SUM(J21:J25)</f>
        <v>123336.01600987035</v>
      </c>
      <c r="L26" s="28"/>
      <c r="M26" s="27"/>
      <c r="N26" s="28"/>
      <c r="O26" s="28"/>
      <c r="P26" s="28"/>
      <c r="Q26" s="28"/>
      <c r="R26" s="28"/>
      <c r="S26" s="27"/>
      <c r="T26" s="27"/>
      <c r="U26" s="27"/>
      <c r="V26" s="27"/>
      <c r="W26" s="28"/>
    </row>
    <row r="27" spans="2:23" ht="15.75" thickBot="1">
      <c r="L27" s="28"/>
      <c r="M27" s="27"/>
      <c r="N27" s="28"/>
      <c r="O27" s="28"/>
      <c r="P27" s="28"/>
      <c r="Q27" s="28"/>
      <c r="R27" s="28"/>
      <c r="S27" s="27"/>
      <c r="T27" s="27"/>
      <c r="U27" s="27"/>
      <c r="V27" s="27"/>
      <c r="W27" s="28"/>
    </row>
    <row r="28" spans="2:23" ht="45.75" thickBot="1">
      <c r="C28" s="25"/>
      <c r="E28" s="226" t="s">
        <v>101</v>
      </c>
      <c r="F28" s="773" t="s">
        <v>91</v>
      </c>
      <c r="G28" s="228" t="s">
        <v>103</v>
      </c>
      <c r="H28" s="228" t="str">
        <f>H12</f>
        <v>Potrzeby cieplne zaspokajane z danego rodzaju paliwa [MWh]</v>
      </c>
      <c r="I28" s="229" t="s">
        <v>162</v>
      </c>
      <c r="J28" s="230" t="s">
        <v>163</v>
      </c>
      <c r="L28" s="28"/>
      <c r="M28" s="27"/>
      <c r="N28" s="28"/>
      <c r="O28" s="28"/>
      <c r="P28" s="28"/>
      <c r="Q28" s="28"/>
      <c r="R28" s="28"/>
      <c r="S28" s="27"/>
      <c r="T28" s="27"/>
      <c r="U28" s="27"/>
      <c r="V28" s="27"/>
      <c r="W28" s="28"/>
    </row>
    <row r="29" spans="2:23">
      <c r="E29" s="777" t="str">
        <f t="shared" ref="E29:F33" si="2">B5</f>
        <v>ciepło systemowe</v>
      </c>
      <c r="F29" s="774">
        <f t="shared" si="2"/>
        <v>0.22717414899999999</v>
      </c>
      <c r="G29" s="314">
        <f>F61</f>
        <v>314523.69749499997</v>
      </c>
      <c r="H29" s="314">
        <f>G29/3.6</f>
        <v>87367.693748611098</v>
      </c>
      <c r="I29" s="315">
        <v>9.4E-2</v>
      </c>
      <c r="J29" s="316">
        <f>G29*I29</f>
        <v>29565.227564529996</v>
      </c>
      <c r="L29" s="28"/>
      <c r="M29" s="27"/>
      <c r="N29" s="28"/>
      <c r="O29" s="28"/>
      <c r="P29" s="28"/>
      <c r="Q29" s="28"/>
      <c r="R29" s="28"/>
      <c r="S29" s="27"/>
      <c r="T29" s="27"/>
      <c r="U29" s="27"/>
      <c r="V29" s="27"/>
      <c r="W29" s="28"/>
    </row>
    <row r="30" spans="2:23">
      <c r="E30" s="778" t="str">
        <f t="shared" si="2"/>
        <v>gaz</v>
      </c>
      <c r="F30" s="775">
        <f t="shared" si="2"/>
        <v>0.19240696639999999</v>
      </c>
      <c r="G30" s="317">
        <f>F30*G34</f>
        <v>266402.02750478347</v>
      </c>
      <c r="H30" s="582">
        <f>G30/3.6</f>
        <v>74000.563195773182</v>
      </c>
      <c r="I30" s="318">
        <v>5.5E-2</v>
      </c>
      <c r="J30" s="319">
        <f>G30*I30</f>
        <v>14652.111512763091</v>
      </c>
      <c r="L30" s="28"/>
      <c r="M30" s="27"/>
      <c r="N30" s="28"/>
      <c r="O30" s="28"/>
      <c r="P30" s="28"/>
      <c r="Q30" s="28"/>
      <c r="R30" s="28"/>
      <c r="S30" s="27"/>
      <c r="T30" s="27"/>
      <c r="U30" s="27"/>
      <c r="V30" s="27"/>
      <c r="W30" s="28"/>
    </row>
    <row r="31" spans="2:23">
      <c r="E31" s="779" t="str">
        <f t="shared" si="2"/>
        <v>węgiel i ekogroszek</v>
      </c>
      <c r="F31" s="775">
        <f t="shared" si="2"/>
        <v>0.499118846</v>
      </c>
      <c r="G31" s="317">
        <f>F31*G34</f>
        <v>691067.87050433841</v>
      </c>
      <c r="H31" s="582">
        <f>G31/3.6</f>
        <v>191963.29736231623</v>
      </c>
      <c r="I31" s="318">
        <v>9.8000000000000004E-2</v>
      </c>
      <c r="J31" s="319">
        <f>G31*I31</f>
        <v>67724.651309425171</v>
      </c>
      <c r="L31" s="28"/>
      <c r="M31" s="27"/>
      <c r="N31" s="28"/>
      <c r="O31" s="28"/>
      <c r="P31" s="28"/>
      <c r="Q31" s="28"/>
      <c r="R31" s="28"/>
      <c r="S31" s="27"/>
      <c r="T31" s="27"/>
      <c r="U31" s="27"/>
      <c r="V31" s="27"/>
      <c r="W31" s="28"/>
    </row>
    <row r="32" spans="2:23">
      <c r="E32" s="778" t="str">
        <f t="shared" si="2"/>
        <v>en. elektryczna</v>
      </c>
      <c r="F32" s="775">
        <f t="shared" si="2"/>
        <v>4.9299999999999997E-2</v>
      </c>
      <c r="G32" s="317">
        <f>F32*G34</f>
        <v>68259.586446999994</v>
      </c>
      <c r="H32" s="582">
        <f>G32/3.6</f>
        <v>18960.996235277777</v>
      </c>
      <c r="I32" s="318">
        <v>0.22600000000000001</v>
      </c>
      <c r="J32" s="319">
        <f>G32*I32</f>
        <v>15426.666537022</v>
      </c>
      <c r="L32" s="28"/>
      <c r="M32" s="27"/>
      <c r="N32" s="28"/>
      <c r="O32" s="28"/>
      <c r="P32" s="28"/>
      <c r="Q32" s="28"/>
      <c r="R32" s="28"/>
      <c r="S32" s="28"/>
      <c r="T32" s="27"/>
      <c r="U32" s="27"/>
      <c r="V32" s="27"/>
      <c r="W32" s="28"/>
    </row>
    <row r="33" spans="2:23" ht="15.75" thickBot="1">
      <c r="E33" s="780" t="str">
        <f t="shared" si="2"/>
        <v>olej opałowy</v>
      </c>
      <c r="F33" s="776">
        <f t="shared" si="2"/>
        <v>3.2000000000000001E-2</v>
      </c>
      <c r="G33" s="320">
        <f>F33*G34</f>
        <v>44306.425280000003</v>
      </c>
      <c r="H33" s="583">
        <f>G33/3.6</f>
        <v>12307.340355555556</v>
      </c>
      <c r="I33" s="321">
        <v>7.5999999999999998E-2</v>
      </c>
      <c r="J33" s="322">
        <f>G33*I33</f>
        <v>3367.2883212800002</v>
      </c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</row>
    <row r="34" spans="2:23" ht="15.75" thickBot="1">
      <c r="E34" s="231" t="s">
        <v>13</v>
      </c>
      <c r="F34" s="232"/>
      <c r="G34" s="231">
        <f>C17</f>
        <v>1384575.79</v>
      </c>
      <c r="H34" s="586">
        <f>SUM(H29:H33)</f>
        <v>384599.89089753386</v>
      </c>
      <c r="I34" s="232"/>
      <c r="J34" s="231">
        <f>SUM(J29:J33)</f>
        <v>130735.94524502025</v>
      </c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</row>
    <row r="35" spans="2:23" s="20" customFormat="1" ht="15" customHeight="1" thickBot="1">
      <c r="B35" s="13"/>
      <c r="C35" s="13"/>
      <c r="K35" s="1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</row>
    <row r="36" spans="2:23" s="20" customFormat="1" ht="19.5" thickBot="1">
      <c r="B36" s="21" t="s">
        <v>271</v>
      </c>
      <c r="C36" s="22"/>
      <c r="D36" s="22"/>
      <c r="E36" s="22"/>
      <c r="F36" s="22"/>
      <c r="G36" s="22"/>
      <c r="H36" s="22"/>
      <c r="I36" s="22"/>
      <c r="J36" s="23"/>
      <c r="K36" s="455"/>
      <c r="L36" s="163"/>
      <c r="M36" s="163"/>
      <c r="N36" s="163"/>
      <c r="O36" s="163"/>
      <c r="P36" s="163"/>
      <c r="Q36" s="163"/>
      <c r="R36" s="163"/>
      <c r="S36" s="163"/>
      <c r="T36" s="308"/>
      <c r="U36" s="308"/>
      <c r="V36" s="308"/>
      <c r="W36" s="308"/>
    </row>
    <row r="37" spans="2:23" ht="15.75" thickBot="1">
      <c r="B37" s="455"/>
      <c r="C37" s="455"/>
      <c r="D37" s="455"/>
      <c r="E37" s="455"/>
      <c r="F37" s="455"/>
      <c r="G37" s="455"/>
      <c r="H37" s="455"/>
      <c r="I37" s="455"/>
      <c r="J37" s="455"/>
      <c r="K37" s="455"/>
      <c r="L37" s="28"/>
      <c r="M37" s="27"/>
      <c r="N37" s="308"/>
      <c r="O37" s="28"/>
      <c r="P37" s="28"/>
      <c r="Q37" s="28"/>
      <c r="R37" s="28"/>
      <c r="S37" s="28"/>
      <c r="T37" s="308"/>
      <c r="U37" s="309"/>
      <c r="V37" s="309"/>
      <c r="W37" s="309"/>
    </row>
    <row r="38" spans="2:23" ht="21.75" customHeight="1" thickBot="1">
      <c r="B38" s="455"/>
      <c r="C38" s="455"/>
      <c r="D38" s="455"/>
      <c r="E38" s="463">
        <v>2005</v>
      </c>
      <c r="F38" s="735" t="s">
        <v>91</v>
      </c>
      <c r="G38" s="509" t="s">
        <v>100</v>
      </c>
      <c r="H38" s="509" t="s">
        <v>301</v>
      </c>
      <c r="I38" s="229" t="s">
        <v>162</v>
      </c>
      <c r="J38" s="230" t="s">
        <v>163</v>
      </c>
      <c r="K38" s="455"/>
      <c r="L38" s="28"/>
      <c r="M38" s="27"/>
      <c r="N38" s="308"/>
      <c r="O38" s="28"/>
      <c r="P38" s="28"/>
      <c r="Q38" s="28"/>
      <c r="R38" s="28"/>
      <c r="S38" s="28"/>
      <c r="T38" s="308"/>
      <c r="U38" s="312"/>
      <c r="V38" s="312"/>
      <c r="W38" s="312"/>
    </row>
    <row r="39" spans="2:23" ht="21.75" customHeight="1">
      <c r="B39" s="459"/>
      <c r="C39" s="455"/>
      <c r="D39" s="455"/>
      <c r="E39" s="785" t="s">
        <v>38</v>
      </c>
      <c r="F39" s="781">
        <f>G39/G43</f>
        <v>0.20266042754690874</v>
      </c>
      <c r="G39" s="464">
        <v>103767.25</v>
      </c>
      <c r="H39" s="464">
        <f>G39/3.6</f>
        <v>28824.236111111109</v>
      </c>
      <c r="I39" s="465">
        <v>9.4E-2</v>
      </c>
      <c r="J39" s="466">
        <f>G39*I39</f>
        <v>9754.1214999999993</v>
      </c>
      <c r="K39" s="455"/>
      <c r="L39" s="28"/>
      <c r="M39" s="27"/>
      <c r="N39" s="308"/>
      <c r="O39" s="28"/>
      <c r="P39" s="28"/>
      <c r="Q39" s="28"/>
      <c r="R39" s="28"/>
      <c r="S39" s="28"/>
      <c r="T39" s="308"/>
      <c r="U39" s="309"/>
      <c r="V39" s="309"/>
      <c r="W39" s="309"/>
    </row>
    <row r="40" spans="2:23" ht="27" customHeight="1">
      <c r="B40" s="455"/>
      <c r="C40" s="455"/>
      <c r="D40" s="455"/>
      <c r="E40" s="786" t="s">
        <v>293</v>
      </c>
      <c r="F40" s="782">
        <f>G40/G43</f>
        <v>0.60335805333963821</v>
      </c>
      <c r="G40" s="467">
        <v>308934.53999999998</v>
      </c>
      <c r="H40" s="584">
        <f>G40/3.6</f>
        <v>85815.15</v>
      </c>
      <c r="I40" s="468">
        <v>9.4E-2</v>
      </c>
      <c r="J40" s="469">
        <f>G40*I40</f>
        <v>29039.846759999997</v>
      </c>
      <c r="K40" s="455"/>
      <c r="L40" s="28"/>
      <c r="M40" s="27"/>
      <c r="N40" s="308"/>
      <c r="O40" s="28"/>
      <c r="P40" s="28"/>
      <c r="Q40" s="28"/>
      <c r="R40" s="28"/>
      <c r="S40" s="28"/>
      <c r="T40" s="308"/>
      <c r="U40" s="309"/>
      <c r="V40" s="309"/>
      <c r="W40" s="309"/>
    </row>
    <row r="41" spans="2:23" ht="21.75" customHeight="1">
      <c r="B41" s="455"/>
      <c r="C41" s="455"/>
      <c r="D41" s="455"/>
      <c r="E41" s="786" t="s">
        <v>272</v>
      </c>
      <c r="F41" s="782">
        <f>G41/G43</f>
        <v>8.4941753455034893E-2</v>
      </c>
      <c r="G41" s="467">
        <v>43492.32</v>
      </c>
      <c r="H41" s="584">
        <f>G41/3.6</f>
        <v>12081.199999999999</v>
      </c>
      <c r="I41" s="468">
        <v>9.4E-2</v>
      </c>
      <c r="J41" s="469">
        <f>G41*I41</f>
        <v>4088.27808</v>
      </c>
      <c r="K41" s="455"/>
      <c r="L41" s="28"/>
      <c r="M41" s="27"/>
      <c r="N41" s="308"/>
      <c r="O41" s="28"/>
      <c r="P41" s="28"/>
      <c r="Q41" s="28"/>
      <c r="R41" s="28"/>
      <c r="S41" s="28"/>
      <c r="T41" s="308"/>
      <c r="U41" s="309"/>
      <c r="V41" s="309"/>
      <c r="W41" s="309"/>
    </row>
    <row r="42" spans="2:23" ht="21.75" customHeight="1" thickBot="1">
      <c r="B42" s="455"/>
      <c r="C42" s="455"/>
      <c r="D42" s="455"/>
      <c r="E42" s="786" t="s">
        <v>126</v>
      </c>
      <c r="F42" s="782">
        <f>G42/G43</f>
        <v>0.10903976565841816</v>
      </c>
      <c r="G42" s="467">
        <v>55831.11</v>
      </c>
      <c r="H42" s="587">
        <f>G42/3.6</f>
        <v>15508.641666666666</v>
      </c>
      <c r="I42" s="468">
        <v>9.4E-2</v>
      </c>
      <c r="J42" s="469">
        <f>G42*I42</f>
        <v>5248.1243400000003</v>
      </c>
      <c r="K42" s="455"/>
      <c r="L42" s="28"/>
      <c r="M42" s="27"/>
      <c r="N42" s="308"/>
      <c r="O42" s="28"/>
      <c r="P42" s="28"/>
      <c r="Q42" s="28"/>
      <c r="R42" s="28"/>
      <c r="S42" s="28"/>
      <c r="T42" s="308"/>
      <c r="U42" s="309"/>
      <c r="V42" s="309"/>
      <c r="W42" s="309"/>
    </row>
    <row r="43" spans="2:23" ht="21.75" customHeight="1" thickBot="1">
      <c r="B43" s="455"/>
      <c r="C43" s="455"/>
      <c r="D43" s="455"/>
      <c r="E43" s="231" t="s">
        <v>13</v>
      </c>
      <c r="G43" s="231">
        <f>SUM(G39:G42)</f>
        <v>512025.22</v>
      </c>
      <c r="H43" s="586">
        <f>SUM(H39:H42)</f>
        <v>142229.22777777776</v>
      </c>
      <c r="I43" s="232"/>
      <c r="J43" s="231">
        <f>SUM(J39:J42)</f>
        <v>48130.37068</v>
      </c>
      <c r="K43" s="455"/>
      <c r="L43" s="28"/>
      <c r="M43" s="27"/>
      <c r="N43" s="28"/>
      <c r="O43" s="28"/>
      <c r="P43" s="28"/>
      <c r="Q43" s="28"/>
      <c r="R43" s="28"/>
      <c r="S43" s="28"/>
      <c r="T43" s="27"/>
      <c r="U43" s="27"/>
      <c r="V43" s="27"/>
      <c r="W43" s="27"/>
    </row>
    <row r="44" spans="2:23" ht="21.75" customHeight="1" thickBot="1">
      <c r="B44" s="455"/>
      <c r="C44" s="455"/>
      <c r="D44" s="455"/>
      <c r="E44" s="455"/>
      <c r="F44" s="455"/>
      <c r="G44" s="455"/>
      <c r="H44" s="455"/>
      <c r="I44" s="455"/>
      <c r="J44" s="455"/>
      <c r="K44" s="455"/>
      <c r="L44" s="28"/>
      <c r="M44" s="27"/>
      <c r="N44" s="313"/>
      <c r="O44" s="28"/>
      <c r="P44" s="28"/>
      <c r="Q44" s="28"/>
      <c r="R44" s="28"/>
      <c r="S44" s="27"/>
      <c r="T44" s="27"/>
      <c r="U44" s="27"/>
      <c r="V44" s="27"/>
      <c r="W44" s="27"/>
    </row>
    <row r="45" spans="2:23" ht="21.75" customHeight="1" thickBot="1">
      <c r="B45" s="455"/>
      <c r="C45" s="459"/>
      <c r="D45" s="455"/>
      <c r="E45" s="458">
        <v>2014</v>
      </c>
      <c r="F45" s="508" t="s">
        <v>91</v>
      </c>
      <c r="G45" s="736" t="s">
        <v>100</v>
      </c>
      <c r="H45" s="736" t="str">
        <f>H38</f>
        <v>Zużycie ciepła [MWh]</v>
      </c>
      <c r="I45" s="746" t="s">
        <v>99</v>
      </c>
      <c r="J45" s="750" t="s">
        <v>24</v>
      </c>
      <c r="K45" s="455"/>
      <c r="L45" s="28"/>
      <c r="M45" s="27"/>
      <c r="N45" s="313"/>
      <c r="O45" s="28"/>
      <c r="P45" s="28"/>
      <c r="Q45" s="28"/>
      <c r="R45" s="28"/>
      <c r="S45" s="28"/>
      <c r="T45" s="27"/>
      <c r="U45" s="27"/>
      <c r="V45" s="27"/>
      <c r="W45" s="27"/>
    </row>
    <row r="46" spans="2:23" ht="21.75" customHeight="1">
      <c r="B46" s="455"/>
      <c r="C46" s="25"/>
      <c r="D46" s="455"/>
      <c r="E46" s="783" t="s">
        <v>38</v>
      </c>
      <c r="F46" s="740">
        <v>0.28810000000000002</v>
      </c>
      <c r="G46" s="737">
        <v>156695.70000000001</v>
      </c>
      <c r="H46" s="737">
        <f>G46/3.6</f>
        <v>43526.583333333336</v>
      </c>
      <c r="I46" s="747">
        <v>9.4E-2</v>
      </c>
      <c r="J46" s="737">
        <f>G46*I46</f>
        <v>14729.3958</v>
      </c>
      <c r="K46" s="455"/>
      <c r="L46" s="28"/>
      <c r="M46" s="27"/>
      <c r="N46" s="313"/>
      <c r="O46" s="28"/>
      <c r="P46" s="28"/>
      <c r="Q46" s="28"/>
      <c r="R46" s="28"/>
      <c r="S46" s="28"/>
      <c r="T46" s="27"/>
      <c r="U46" s="27"/>
      <c r="V46" s="27"/>
      <c r="W46" s="27"/>
    </row>
    <row r="47" spans="2:23" ht="27.75" customHeight="1">
      <c r="B47" s="455"/>
      <c r="C47" s="456"/>
      <c r="D47" s="455"/>
      <c r="E47" s="784" t="str">
        <f>E40</f>
        <v>Budynki mieszkalne</v>
      </c>
      <c r="F47" s="741">
        <v>0.53449999999999998</v>
      </c>
      <c r="G47" s="738">
        <v>290694.59000000003</v>
      </c>
      <c r="H47" s="743">
        <f>G47/3.6</f>
        <v>80748.497222222228</v>
      </c>
      <c r="I47" s="748">
        <v>9.4E-2</v>
      </c>
      <c r="J47" s="743">
        <f>G47*I47</f>
        <v>27325.291460000004</v>
      </c>
      <c r="K47" s="455"/>
      <c r="L47" s="28"/>
      <c r="M47" s="27"/>
      <c r="N47" s="313"/>
      <c r="O47" s="28"/>
      <c r="P47" s="28"/>
      <c r="Q47" s="28"/>
      <c r="R47" s="28"/>
      <c r="S47" s="28"/>
      <c r="T47" s="27"/>
      <c r="U47" s="27"/>
      <c r="V47" s="27"/>
      <c r="W47" s="27"/>
    </row>
    <row r="48" spans="2:23" ht="21.75" customHeight="1">
      <c r="B48" s="456"/>
      <c r="C48" s="456"/>
      <c r="D48" s="455"/>
      <c r="E48" s="784" t="s">
        <v>272</v>
      </c>
      <c r="F48" s="741">
        <v>7.6999999999999999E-2</v>
      </c>
      <c r="G48" s="739">
        <v>41867.980000000003</v>
      </c>
      <c r="H48" s="744">
        <f>G48/3.6</f>
        <v>11629.994444444445</v>
      </c>
      <c r="I48" s="749">
        <v>9.4E-2</v>
      </c>
      <c r="J48" s="744">
        <f>G48*I48</f>
        <v>3935.5901200000003</v>
      </c>
      <c r="K48" s="455"/>
      <c r="L48" s="28"/>
      <c r="M48" s="27"/>
      <c r="N48" s="313"/>
      <c r="O48" s="28"/>
      <c r="P48" s="28"/>
      <c r="Q48" s="28"/>
      <c r="R48" s="28"/>
      <c r="S48" s="28"/>
      <c r="T48" s="27"/>
      <c r="U48" s="27"/>
      <c r="V48" s="27"/>
      <c r="W48" s="27"/>
    </row>
    <row r="49" spans="2:23" ht="21.75" customHeight="1" thickBot="1">
      <c r="B49" s="455"/>
      <c r="C49" s="456"/>
      <c r="D49" s="455"/>
      <c r="E49" s="784" t="str">
        <f>E42</f>
        <v>Handel i usługi</v>
      </c>
      <c r="F49" s="742">
        <v>0.1004</v>
      </c>
      <c r="G49" s="745">
        <v>54576.5</v>
      </c>
      <c r="H49" s="745">
        <f>G49/3.6</f>
        <v>15160.138888888889</v>
      </c>
      <c r="I49" s="749">
        <v>9.4E-2</v>
      </c>
      <c r="J49" s="745">
        <f>G49*I49</f>
        <v>5130.1909999999998</v>
      </c>
      <c r="K49" s="455"/>
      <c r="L49" s="28"/>
      <c r="M49" s="27"/>
      <c r="N49" s="28"/>
      <c r="O49" s="28"/>
      <c r="P49" s="28"/>
      <c r="Q49" s="28"/>
      <c r="R49" s="28"/>
      <c r="S49" s="28"/>
      <c r="T49" s="27"/>
      <c r="U49" s="27"/>
      <c r="V49" s="27"/>
      <c r="W49" s="27"/>
    </row>
    <row r="50" spans="2:23" ht="21.75" customHeight="1" thickBot="1">
      <c r="B50" s="455"/>
      <c r="C50" s="456"/>
      <c r="D50" s="455"/>
      <c r="E50" s="110" t="s">
        <v>13</v>
      </c>
      <c r="G50" s="585">
        <f>SUM(G46:G49)</f>
        <v>543834.77</v>
      </c>
      <c r="H50" s="585">
        <f>SUM(H46:H49)</f>
        <v>151065.21388888889</v>
      </c>
      <c r="I50" s="457"/>
      <c r="J50" s="585">
        <f>SUM(J46:J49)</f>
        <v>51120.468380000006</v>
      </c>
      <c r="K50" s="455"/>
      <c r="L50" s="28"/>
      <c r="M50" s="27"/>
      <c r="N50" s="308"/>
      <c r="O50" s="28"/>
      <c r="P50" s="28"/>
      <c r="Q50" s="28"/>
      <c r="R50" s="28"/>
      <c r="S50" s="28"/>
      <c r="T50" s="27"/>
      <c r="U50" s="27"/>
      <c r="V50" s="27"/>
      <c r="W50" s="27"/>
    </row>
    <row r="51" spans="2:23" s="27" customFormat="1" ht="21.75" customHeight="1" thickBot="1">
      <c r="B51" s="755"/>
      <c r="C51" s="756"/>
      <c r="D51" s="755"/>
      <c r="E51" s="755"/>
      <c r="F51" s="755"/>
      <c r="G51" s="755"/>
      <c r="H51" s="755"/>
      <c r="I51" s="755"/>
      <c r="J51" s="755"/>
      <c r="K51" s="755"/>
      <c r="L51" s="28"/>
      <c r="N51" s="308"/>
      <c r="O51" s="28"/>
      <c r="P51" s="28"/>
      <c r="Q51" s="28"/>
      <c r="R51" s="28"/>
      <c r="S51" s="28"/>
    </row>
    <row r="52" spans="2:23" ht="49.5" customHeight="1" thickBot="1">
      <c r="B52" s="455"/>
      <c r="C52" s="456"/>
      <c r="D52" s="455"/>
      <c r="E52" s="787" t="s">
        <v>479</v>
      </c>
      <c r="F52" s="788" t="s">
        <v>91</v>
      </c>
      <c r="G52" s="789" t="s">
        <v>100</v>
      </c>
      <c r="H52" s="789" t="str">
        <f>H45</f>
        <v>Zużycie ciepła [MWh]</v>
      </c>
      <c r="I52" s="790" t="s">
        <v>480</v>
      </c>
      <c r="J52" s="791" t="s">
        <v>476</v>
      </c>
      <c r="K52" s="455"/>
      <c r="L52" s="28"/>
      <c r="M52" s="27"/>
      <c r="N52" s="308"/>
      <c r="O52" s="28"/>
      <c r="P52" s="28"/>
      <c r="Q52" s="28"/>
      <c r="R52" s="28"/>
      <c r="S52" s="28"/>
      <c r="T52" s="27"/>
      <c r="U52" s="27"/>
      <c r="V52" s="27"/>
      <c r="W52" s="27"/>
    </row>
    <row r="53" spans="2:23" ht="21.75" customHeight="1">
      <c r="B53" s="455"/>
      <c r="C53" s="456"/>
      <c r="D53" s="455"/>
      <c r="E53" s="792" t="s">
        <v>38</v>
      </c>
      <c r="F53" s="793">
        <v>0.28810000000000002</v>
      </c>
      <c r="G53" s="794">
        <f>F53*G57</f>
        <v>155687.80428374591</v>
      </c>
      <c r="H53" s="794">
        <f>G53/3.6</f>
        <v>43246.612301040528</v>
      </c>
      <c r="I53" s="795">
        <v>9.4E-2</v>
      </c>
      <c r="J53" s="794">
        <f>G53*I53</f>
        <v>14634.653602672115</v>
      </c>
      <c r="K53" s="455"/>
      <c r="L53" s="28"/>
      <c r="M53" s="27"/>
      <c r="N53" s="308"/>
      <c r="O53" s="28"/>
      <c r="P53" s="28"/>
      <c r="Q53" s="28"/>
      <c r="R53" s="28"/>
      <c r="S53" s="28"/>
      <c r="T53" s="27"/>
      <c r="U53" s="27"/>
      <c r="V53" s="27"/>
      <c r="W53" s="27"/>
    </row>
    <row r="54" spans="2:23" ht="21.75" customHeight="1">
      <c r="B54" s="455"/>
      <c r="C54" s="456"/>
      <c r="D54" s="455"/>
      <c r="E54" s="796" t="str">
        <f>E47</f>
        <v>Budynki mieszkalne</v>
      </c>
      <c r="F54" s="797">
        <v>0.53449999999999998</v>
      </c>
      <c r="G54" s="798">
        <f>F54*G57</f>
        <v>288841.13637508563</v>
      </c>
      <c r="H54" s="798">
        <f>G54/3.6</f>
        <v>80233.648993079332</v>
      </c>
      <c r="I54" s="799">
        <v>9.4E-2</v>
      </c>
      <c r="J54" s="798">
        <f>G54*I54</f>
        <v>27151.066819258049</v>
      </c>
      <c r="K54" s="455"/>
      <c r="L54" s="28"/>
      <c r="M54" s="27"/>
      <c r="N54" s="308"/>
      <c r="O54" s="28"/>
      <c r="P54" s="28"/>
      <c r="Q54" s="28"/>
      <c r="R54" s="28"/>
      <c r="S54" s="28"/>
      <c r="T54" s="27"/>
      <c r="U54" s="27"/>
      <c r="V54" s="27"/>
      <c r="W54" s="27"/>
    </row>
    <row r="55" spans="2:23" ht="21.75" customHeight="1">
      <c r="B55" s="455"/>
      <c r="C55" s="456"/>
      <c r="D55" s="455"/>
      <c r="E55" s="796" t="s">
        <v>272</v>
      </c>
      <c r="F55" s="797">
        <v>7.6999999999999999E-2</v>
      </c>
      <c r="G55" s="798">
        <f>F55*G57</f>
        <v>41610.416278543678</v>
      </c>
      <c r="H55" s="798">
        <f>G55/3.6</f>
        <v>11558.448966262133</v>
      </c>
      <c r="I55" s="799">
        <v>9.4E-2</v>
      </c>
      <c r="J55" s="798">
        <f>G55*I55</f>
        <v>3911.3791301831056</v>
      </c>
      <c r="K55" s="455"/>
      <c r="L55" s="28"/>
      <c r="M55" s="27"/>
      <c r="N55" s="308"/>
      <c r="O55" s="28"/>
      <c r="P55" s="28"/>
      <c r="Q55" s="28"/>
      <c r="R55" s="28"/>
      <c r="S55" s="28"/>
      <c r="T55" s="27"/>
      <c r="U55" s="27"/>
      <c r="V55" s="27"/>
      <c r="W55" s="27"/>
    </row>
    <row r="56" spans="2:23" ht="21.75" customHeight="1" thickBot="1">
      <c r="B56" s="455"/>
      <c r="C56" s="456"/>
      <c r="D56" s="455"/>
      <c r="E56" s="800" t="str">
        <f>E49</f>
        <v>Handel i usługi</v>
      </c>
      <c r="F56" s="801">
        <v>0.1004</v>
      </c>
      <c r="G56" s="802">
        <f>F56*G57</f>
        <v>54255.659667088119</v>
      </c>
      <c r="H56" s="802">
        <f>G56/3.6</f>
        <v>15071.016574191144</v>
      </c>
      <c r="I56" s="803">
        <v>9.4E-2</v>
      </c>
      <c r="J56" s="802">
        <f>G56*I56</f>
        <v>5100.0320087062828</v>
      </c>
      <c r="K56" s="455"/>
      <c r="L56" s="28"/>
      <c r="M56" s="27"/>
      <c r="N56" s="308"/>
      <c r="O56" s="28"/>
      <c r="P56" s="28"/>
      <c r="Q56" s="28"/>
      <c r="R56" s="28"/>
      <c r="S56" s="28"/>
      <c r="T56" s="27"/>
      <c r="U56" s="27"/>
      <c r="V56" s="27"/>
      <c r="W56" s="27"/>
    </row>
    <row r="57" spans="2:23" ht="21.75" customHeight="1" thickBot="1">
      <c r="B57" s="455"/>
      <c r="C57" s="456"/>
      <c r="D57" s="455"/>
      <c r="E57" s="724" t="s">
        <v>13</v>
      </c>
      <c r="F57" s="667"/>
      <c r="G57" s="724">
        <f>G50/Charakterystyka!Q9*Charakterystyka!T9</f>
        <v>540395.01660446334</v>
      </c>
      <c r="H57" s="724">
        <f>SUM(H53:H56)</f>
        <v>150109.72683457311</v>
      </c>
      <c r="I57" s="725"/>
      <c r="J57" s="724">
        <f>SUM(J53:J56)</f>
        <v>50797.131560819558</v>
      </c>
      <c r="K57" s="455"/>
      <c r="L57" s="28"/>
      <c r="M57" s="27"/>
      <c r="N57" s="308"/>
      <c r="O57" s="28"/>
      <c r="P57" s="28"/>
      <c r="Q57" s="28"/>
      <c r="R57" s="28"/>
      <c r="S57" s="28"/>
      <c r="T57" s="27"/>
      <c r="U57" s="27"/>
      <c r="V57" s="27"/>
      <c r="W57" s="27"/>
    </row>
    <row r="58" spans="2:23" s="197" customFormat="1" ht="21.75" customHeight="1" thickBot="1">
      <c r="B58" s="732"/>
      <c r="C58" s="733"/>
      <c r="D58" s="732"/>
      <c r="E58" s="729"/>
      <c r="G58" s="729"/>
      <c r="H58" s="729"/>
      <c r="I58" s="734"/>
      <c r="J58" s="729"/>
      <c r="K58" s="732"/>
      <c r="L58" s="730"/>
      <c r="N58" s="731"/>
      <c r="O58" s="730"/>
      <c r="P58" s="730"/>
      <c r="Q58" s="730"/>
      <c r="R58" s="730"/>
      <c r="S58" s="730"/>
    </row>
    <row r="59" spans="2:23" ht="21.75" customHeight="1" thickBot="1">
      <c r="B59" s="455"/>
      <c r="C59" s="455"/>
      <c r="D59" s="455"/>
      <c r="E59" s="463" t="s">
        <v>101</v>
      </c>
      <c r="F59" s="752" t="s">
        <v>100</v>
      </c>
      <c r="G59" s="753" t="str">
        <f>H45</f>
        <v>Zużycie ciepła [MWh]</v>
      </c>
      <c r="H59" s="753" t="s">
        <v>162</v>
      </c>
      <c r="I59" s="754" t="s">
        <v>163</v>
      </c>
      <c r="J59" s="455"/>
      <c r="K59" s="455"/>
      <c r="L59" s="28"/>
      <c r="M59" s="27"/>
      <c r="N59" s="308"/>
      <c r="O59" s="28"/>
      <c r="P59" s="28"/>
      <c r="Q59" s="28"/>
      <c r="R59" s="28"/>
      <c r="S59" s="28"/>
      <c r="T59" s="27"/>
      <c r="U59" s="27"/>
      <c r="V59" s="27"/>
      <c r="W59" s="27"/>
    </row>
    <row r="60" spans="2:23" ht="21.75" customHeight="1">
      <c r="B60" s="455"/>
      <c r="C60" s="456"/>
      <c r="D60" s="455"/>
      <c r="E60" s="728" t="s">
        <v>38</v>
      </c>
      <c r="F60" s="726">
        <f>F46*F64</f>
        <v>169530.92095100001</v>
      </c>
      <c r="G60" s="465">
        <f>F60/3.6</f>
        <v>47091.922486388889</v>
      </c>
      <c r="H60" s="465">
        <v>9.4E-2</v>
      </c>
      <c r="I60" s="466">
        <f>F60*H60</f>
        <v>15935.906569394001</v>
      </c>
      <c r="J60" s="455"/>
      <c r="K60" s="455"/>
      <c r="L60" s="28"/>
      <c r="M60" s="27"/>
      <c r="N60" s="308"/>
      <c r="O60" s="28"/>
      <c r="P60" s="28"/>
      <c r="Q60" s="28"/>
      <c r="R60" s="28"/>
      <c r="S60" s="28"/>
      <c r="T60" s="27"/>
      <c r="U60" s="27"/>
      <c r="V60" s="27"/>
      <c r="W60" s="27"/>
    </row>
    <row r="61" spans="2:23" ht="27.75" customHeight="1">
      <c r="B61" s="455"/>
      <c r="C61" s="456"/>
      <c r="D61" s="455"/>
      <c r="E61" s="758" t="str">
        <f>E47</f>
        <v>Budynki mieszkalne</v>
      </c>
      <c r="F61" s="751">
        <f>F47*F64</f>
        <v>314523.69749499997</v>
      </c>
      <c r="G61" s="759">
        <f>F61/3.6</f>
        <v>87367.693748611098</v>
      </c>
      <c r="H61" s="759">
        <v>9.4E-2</v>
      </c>
      <c r="I61" s="760">
        <f>F61*H61</f>
        <v>29565.227564529996</v>
      </c>
      <c r="J61" s="455"/>
      <c r="K61" s="455"/>
      <c r="L61" s="28"/>
      <c r="M61" s="27"/>
      <c r="N61" s="308"/>
      <c r="O61" s="28"/>
      <c r="P61" s="28"/>
      <c r="Q61" s="28"/>
      <c r="R61" s="28"/>
      <c r="S61" s="28"/>
      <c r="T61" s="27"/>
      <c r="U61" s="27"/>
      <c r="V61" s="27"/>
      <c r="W61" s="27"/>
    </row>
    <row r="62" spans="2:23" ht="21.75" customHeight="1">
      <c r="B62" s="455"/>
      <c r="C62" s="456"/>
      <c r="D62" s="455"/>
      <c r="E62" s="758" t="s">
        <v>272</v>
      </c>
      <c r="F62" s="751">
        <f>F48*F64</f>
        <v>45310.24267</v>
      </c>
      <c r="G62" s="759">
        <f>F62/3.6</f>
        <v>12586.178519444444</v>
      </c>
      <c r="H62" s="759">
        <v>9.4E-2</v>
      </c>
      <c r="I62" s="760">
        <f>F62*H62</f>
        <v>4259.1628109800004</v>
      </c>
      <c r="J62" s="455"/>
      <c r="K62" s="455"/>
      <c r="L62" s="28"/>
      <c r="M62" s="27"/>
      <c r="N62" s="308"/>
      <c r="O62" s="28"/>
      <c r="P62" s="28"/>
      <c r="Q62" s="28"/>
      <c r="R62" s="28"/>
      <c r="S62" s="28"/>
      <c r="T62" s="27"/>
      <c r="U62" s="27"/>
      <c r="V62" s="27"/>
      <c r="W62" s="27"/>
    </row>
    <row r="63" spans="2:23" ht="21.75" customHeight="1" thickBot="1">
      <c r="B63" s="455"/>
      <c r="C63" s="456"/>
      <c r="D63" s="455"/>
      <c r="E63" s="761" t="str">
        <f>E49</f>
        <v>Handel i usługi</v>
      </c>
      <c r="F63" s="762">
        <f>F49*F64</f>
        <v>59079.848883999999</v>
      </c>
      <c r="G63" s="763">
        <f>F63/3.6</f>
        <v>16411.069134444442</v>
      </c>
      <c r="H63" s="763">
        <v>9.4E-2</v>
      </c>
      <c r="I63" s="764">
        <f>F63*H63</f>
        <v>5553.5057950959999</v>
      </c>
      <c r="J63" s="455"/>
      <c r="K63" s="455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</row>
    <row r="64" spans="2:23" ht="21.75" customHeight="1" thickBot="1">
      <c r="B64" s="455"/>
      <c r="C64" s="455"/>
      <c r="D64" s="455"/>
      <c r="E64" s="231" t="s">
        <v>13</v>
      </c>
      <c r="F64" s="727">
        <v>588444.71</v>
      </c>
      <c r="G64" s="757">
        <f>SUM(G60:G63)</f>
        <v>163456.86388888888</v>
      </c>
      <c r="H64" s="232"/>
      <c r="I64" s="231">
        <f>SUM(I60:I63)</f>
        <v>55313.802739999999</v>
      </c>
      <c r="J64" s="455"/>
      <c r="K64" s="455"/>
      <c r="N64" s="27"/>
      <c r="O64" s="27"/>
      <c r="P64" s="27"/>
      <c r="Q64" s="27"/>
      <c r="R64" s="27"/>
      <c r="S64" s="27"/>
      <c r="T64" s="27"/>
      <c r="U64" s="27"/>
      <c r="V64" s="27"/>
      <c r="W64" s="27"/>
    </row>
    <row r="65" spans="7:23">
      <c r="G65" s="25"/>
      <c r="H65" s="25"/>
      <c r="N65" s="27"/>
      <c r="O65" s="27"/>
      <c r="P65" s="27"/>
      <c r="Q65" s="27"/>
      <c r="R65" s="27"/>
      <c r="S65" s="27"/>
      <c r="T65" s="27"/>
      <c r="U65" s="27"/>
      <c r="V65" s="27"/>
      <c r="W65" s="27"/>
    </row>
    <row r="66" spans="7:23">
      <c r="N66" s="27"/>
      <c r="O66" s="27"/>
      <c r="P66" s="27"/>
      <c r="Q66" s="27"/>
      <c r="R66" s="27"/>
      <c r="S66" s="27"/>
      <c r="T66" s="27"/>
      <c r="U66" s="27"/>
      <c r="V66" s="27"/>
      <c r="W66" s="27"/>
    </row>
  </sheetData>
  <mergeCells count="2">
    <mergeCell ref="B4:C4"/>
    <mergeCell ref="B12:C1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35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L3"/>
  <sheetViews>
    <sheetView view="pageBreakPreview" topLeftCell="A4" zoomScale="60" zoomScaleNormal="100" workbookViewId="0">
      <selection activeCell="T19" sqref="T19"/>
    </sheetView>
  </sheetViews>
  <sheetFormatPr defaultRowHeight="15"/>
  <cols>
    <col min="1" max="1" width="2.5" style="13" customWidth="1"/>
    <col min="2" max="2" width="9" style="13"/>
    <col min="3" max="3" width="11.875" style="13" customWidth="1"/>
    <col min="4" max="4" width="13.5" style="13" bestFit="1" customWidth="1"/>
    <col min="5" max="5" width="15.625" style="13" customWidth="1"/>
    <col min="6" max="6" width="13.5" style="13" bestFit="1" customWidth="1"/>
    <col min="7" max="7" width="2.5" style="13" customWidth="1"/>
    <col min="8" max="8" width="9.125" style="13" bestFit="1" customWidth="1"/>
    <col min="9" max="9" width="12.75" style="13" customWidth="1"/>
    <col min="10" max="10" width="13.75" style="13" customWidth="1"/>
    <col min="11" max="11" width="18" style="13" customWidth="1"/>
    <col min="12" max="12" width="13.5" style="13" bestFit="1" customWidth="1"/>
    <col min="13" max="13" width="9" style="13" customWidth="1"/>
    <col min="14" max="14" width="11.625" style="13" customWidth="1"/>
    <col min="15" max="15" width="9" style="13" customWidth="1"/>
    <col min="16" max="18" width="11.625" style="13" customWidth="1"/>
    <col min="19" max="19" width="9" style="13" customWidth="1"/>
    <col min="20" max="16384" width="9" style="13"/>
  </cols>
  <sheetData>
    <row r="1" spans="2:12" s="20" customFormat="1" ht="15" customHeight="1" thickBot="1"/>
    <row r="2" spans="2:12" s="20" customFormat="1" ht="19.5" thickBot="1">
      <c r="B2" s="21" t="s">
        <v>104</v>
      </c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2:12" s="20" customFormat="1" ht="15" customHeight="1"/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1" manualBreakCount="1">
    <brk id="38" max="11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K27"/>
  <sheetViews>
    <sheetView view="pageBreakPreview" topLeftCell="A10" zoomScale="98" zoomScaleNormal="89" zoomScaleSheetLayoutView="98" workbookViewId="0">
      <selection activeCell="I21" sqref="I21"/>
    </sheetView>
  </sheetViews>
  <sheetFormatPr defaultRowHeight="15"/>
  <cols>
    <col min="1" max="1" width="2.5" style="13" customWidth="1"/>
    <col min="2" max="2" width="6" style="237" customWidth="1"/>
    <col min="3" max="3" width="35.75" style="13" customWidth="1"/>
    <col min="4" max="4" width="13.5" style="13" bestFit="1" customWidth="1"/>
    <col min="5" max="7" width="15.625" style="13" customWidth="1"/>
    <col min="8" max="8" width="12.375" style="13" customWidth="1"/>
    <col min="9" max="9" width="14.25" style="13" customWidth="1"/>
    <col min="10" max="10" width="18" style="13" customWidth="1"/>
    <col min="11" max="11" width="17.25" style="13" customWidth="1"/>
    <col min="12" max="12" width="9" style="13" customWidth="1"/>
    <col min="13" max="13" width="11.625" style="13" customWidth="1"/>
    <col min="14" max="14" width="9" style="13" customWidth="1"/>
    <col min="15" max="17" width="11.625" style="13" customWidth="1"/>
    <col min="18" max="18" width="9" style="13" customWidth="1"/>
    <col min="19" max="16384" width="9" style="13"/>
  </cols>
  <sheetData>
    <row r="1" spans="2:11" s="20" customFormat="1" ht="15" customHeight="1" thickBot="1">
      <c r="B1" s="237"/>
    </row>
    <row r="2" spans="2:11" s="20" customFormat="1" ht="19.5" thickBot="1">
      <c r="B2" s="238" t="s">
        <v>296</v>
      </c>
      <c r="C2" s="22"/>
      <c r="D2" s="22"/>
      <c r="E2" s="22"/>
      <c r="F2" s="22"/>
      <c r="G2" s="22"/>
      <c r="H2" s="22"/>
      <c r="I2" s="22"/>
      <c r="J2" s="22"/>
      <c r="K2" s="23"/>
    </row>
    <row r="3" spans="2:11" s="20" customFormat="1" ht="15" customHeight="1" thickBot="1">
      <c r="B3" s="237"/>
    </row>
    <row r="4" spans="2:11" ht="66">
      <c r="B4" s="239" t="s">
        <v>107</v>
      </c>
      <c r="C4" s="130" t="s">
        <v>108</v>
      </c>
      <c r="D4" s="130" t="s">
        <v>109</v>
      </c>
      <c r="E4" s="130" t="s">
        <v>110</v>
      </c>
      <c r="F4" s="130" t="s">
        <v>120</v>
      </c>
      <c r="G4" s="130" t="s">
        <v>111</v>
      </c>
      <c r="H4" s="130" t="s">
        <v>100</v>
      </c>
      <c r="I4" s="130" t="s">
        <v>99</v>
      </c>
      <c r="J4" s="234" t="s">
        <v>164</v>
      </c>
      <c r="K4" s="131" t="s">
        <v>112</v>
      </c>
    </row>
    <row r="5" spans="2:11" ht="34.5" customHeight="1">
      <c r="B5" s="240">
        <v>1</v>
      </c>
      <c r="C5" s="236" t="s">
        <v>216</v>
      </c>
      <c r="D5" s="179">
        <v>900</v>
      </c>
      <c r="E5" s="180">
        <v>15.096</v>
      </c>
      <c r="F5" s="180">
        <f>0.812</f>
        <v>0.81200000000000006</v>
      </c>
      <c r="G5" s="181" t="s">
        <v>217</v>
      </c>
      <c r="H5" s="180">
        <f>22600*0.0373</f>
        <v>842.98</v>
      </c>
      <c r="I5" s="182">
        <v>5.5E-2</v>
      </c>
      <c r="J5" s="179">
        <f t="shared" ref="J5:J12" si="0">E5*F5</f>
        <v>12.257952000000001</v>
      </c>
      <c r="K5" s="183">
        <f>I5*H5</f>
        <v>46.363900000000001</v>
      </c>
    </row>
    <row r="6" spans="2:11" ht="42" customHeight="1">
      <c r="B6" s="242">
        <v>2</v>
      </c>
      <c r="C6" s="233" t="s">
        <v>273</v>
      </c>
      <c r="D6" s="167">
        <v>555.5</v>
      </c>
      <c r="E6" s="167">
        <v>12.2</v>
      </c>
      <c r="F6" s="168">
        <f t="shared" ref="F6:F12" si="1">F5</f>
        <v>0.81200000000000006</v>
      </c>
      <c r="G6" s="166" t="s">
        <v>241</v>
      </c>
      <c r="H6" s="167" t="s">
        <v>165</v>
      </c>
      <c r="I6" s="169" t="s">
        <v>165</v>
      </c>
      <c r="J6" s="167">
        <f t="shared" si="0"/>
        <v>9.9063999999999997</v>
      </c>
      <c r="K6" s="170" t="s">
        <v>165</v>
      </c>
    </row>
    <row r="7" spans="2:11" ht="31.5" customHeight="1">
      <c r="B7" s="242">
        <v>3</v>
      </c>
      <c r="C7" s="233" t="s">
        <v>242</v>
      </c>
      <c r="D7" s="167">
        <v>1425</v>
      </c>
      <c r="E7" s="167">
        <v>19.05</v>
      </c>
      <c r="F7" s="168">
        <f t="shared" si="1"/>
        <v>0.81200000000000006</v>
      </c>
      <c r="G7" s="166" t="s">
        <v>241</v>
      </c>
      <c r="H7" s="167" t="s">
        <v>165</v>
      </c>
      <c r="I7" s="169" t="s">
        <v>165</v>
      </c>
      <c r="J7" s="167">
        <f t="shared" si="0"/>
        <v>15.468600000000002</v>
      </c>
      <c r="K7" s="170" t="s">
        <v>165</v>
      </c>
    </row>
    <row r="8" spans="2:11" ht="37.5" customHeight="1">
      <c r="B8" s="242">
        <v>4</v>
      </c>
      <c r="C8" s="233" t="s">
        <v>270</v>
      </c>
      <c r="D8" s="167">
        <v>3500</v>
      </c>
      <c r="E8" s="167">
        <v>28.98</v>
      </c>
      <c r="F8" s="168">
        <f t="shared" si="1"/>
        <v>0.81200000000000006</v>
      </c>
      <c r="G8" s="166" t="s">
        <v>241</v>
      </c>
      <c r="H8" s="167">
        <v>1263</v>
      </c>
      <c r="I8" s="169">
        <v>9.4E-2</v>
      </c>
      <c r="J8" s="167">
        <f t="shared" si="0"/>
        <v>23.531760000000002</v>
      </c>
      <c r="K8" s="170">
        <f>H8*I8</f>
        <v>118.72199999999999</v>
      </c>
    </row>
    <row r="9" spans="2:11" ht="34.5" customHeight="1">
      <c r="B9" s="241">
        <v>5</v>
      </c>
      <c r="C9" s="176" t="s">
        <v>287</v>
      </c>
      <c r="D9" s="167">
        <v>894</v>
      </c>
      <c r="E9" s="167">
        <v>19.48</v>
      </c>
      <c r="F9" s="167">
        <f t="shared" si="1"/>
        <v>0.81200000000000006</v>
      </c>
      <c r="G9" s="166" t="s">
        <v>241</v>
      </c>
      <c r="H9" s="166" t="s">
        <v>165</v>
      </c>
      <c r="I9" s="166">
        <v>9.4E-2</v>
      </c>
      <c r="J9" s="167">
        <f t="shared" si="0"/>
        <v>15.817760000000002</v>
      </c>
      <c r="K9" s="170" t="s">
        <v>165</v>
      </c>
    </row>
    <row r="10" spans="2:11" ht="34.5" customHeight="1">
      <c r="B10" s="241">
        <v>6</v>
      </c>
      <c r="C10" s="171" t="s">
        <v>288</v>
      </c>
      <c r="D10" s="166">
        <v>6365.38</v>
      </c>
      <c r="E10" s="167">
        <v>21.54</v>
      </c>
      <c r="F10" s="167">
        <f t="shared" si="1"/>
        <v>0.81200000000000006</v>
      </c>
      <c r="G10" s="166" t="s">
        <v>241</v>
      </c>
      <c r="H10" s="167" t="s">
        <v>165</v>
      </c>
      <c r="I10" s="169">
        <v>9.4E-2</v>
      </c>
      <c r="J10" s="167">
        <f t="shared" si="0"/>
        <v>17.490480000000002</v>
      </c>
      <c r="K10" s="170" t="s">
        <v>165</v>
      </c>
    </row>
    <row r="11" spans="2:11" ht="34.5" customHeight="1">
      <c r="B11" s="240">
        <v>7</v>
      </c>
      <c r="C11" s="452" t="s">
        <v>289</v>
      </c>
      <c r="D11" s="179">
        <v>13456</v>
      </c>
      <c r="E11" s="179">
        <v>759.04</v>
      </c>
      <c r="F11" s="179">
        <f t="shared" si="1"/>
        <v>0.81200000000000006</v>
      </c>
      <c r="G11" s="181" t="s">
        <v>290</v>
      </c>
      <c r="H11" s="179">
        <f>10716.9+580.91</f>
        <v>11297.81</v>
      </c>
      <c r="I11" s="537" t="s">
        <v>291</v>
      </c>
      <c r="J11" s="179">
        <f>E11*F11</f>
        <v>616.34047999999996</v>
      </c>
      <c r="K11" s="183">
        <f>1007.39+31.9</f>
        <v>1039.29</v>
      </c>
    </row>
    <row r="12" spans="2:11" ht="51" customHeight="1" thickBot="1">
      <c r="B12" s="243">
        <v>8</v>
      </c>
      <c r="C12" s="294" t="s">
        <v>292</v>
      </c>
      <c r="D12" s="174">
        <v>5406</v>
      </c>
      <c r="E12" s="174">
        <v>388.44</v>
      </c>
      <c r="F12" s="174">
        <f t="shared" si="1"/>
        <v>0.81200000000000006</v>
      </c>
      <c r="G12" s="173" t="s">
        <v>290</v>
      </c>
      <c r="H12" s="174">
        <f>1994.21+144.34</f>
        <v>2138.5500000000002</v>
      </c>
      <c r="I12" s="295" t="s">
        <v>291</v>
      </c>
      <c r="J12" s="174">
        <f t="shared" si="0"/>
        <v>315.41328000000004</v>
      </c>
      <c r="K12" s="175">
        <f>109.68+13.57</f>
        <v>123.25</v>
      </c>
    </row>
    <row r="13" spans="2:11" ht="15.75" thickBot="1">
      <c r="C13" s="137" t="s">
        <v>13</v>
      </c>
      <c r="D13" s="138">
        <f>SUM(D5:D12)</f>
        <v>32501.88</v>
      </c>
      <c r="E13" s="138">
        <f>SUM(E5:E12)</f>
        <v>1263.826</v>
      </c>
      <c r="F13" s="140"/>
      <c r="H13" s="139">
        <f>SUM(H5:H12)</f>
        <v>15542.34</v>
      </c>
      <c r="I13" s="293"/>
      <c r="J13" s="138">
        <f>SUM(J5:J12)</f>
        <v>1026.2267119999999</v>
      </c>
      <c r="K13" s="138">
        <f>SUM(K5:K12)</f>
        <v>1327.6259</v>
      </c>
    </row>
    <row r="18" spans="10:11">
      <c r="J18" s="297"/>
    </row>
    <row r="19" spans="10:11">
      <c r="K19" s="297"/>
    </row>
    <row r="24" spans="10:11">
      <c r="J24" s="310"/>
      <c r="K24" s="311"/>
    </row>
    <row r="25" spans="10:11">
      <c r="J25" s="310"/>
      <c r="K25" s="311"/>
    </row>
    <row r="26" spans="10:11">
      <c r="J26" s="310"/>
      <c r="K26" s="311"/>
    </row>
    <row r="27" spans="10:11">
      <c r="J27" s="310"/>
      <c r="K27" s="311"/>
    </row>
  </sheetData>
  <autoFilter ref="B4:K13" xr:uid="{00000000-0009-0000-0000-00000E000000}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DF947-8675-4870-AECB-B31523D938EC}">
  <sheetPr>
    <tabColor theme="7"/>
  </sheetPr>
  <dimension ref="B2:X12"/>
  <sheetViews>
    <sheetView showGridLines="0" topLeftCell="I10" workbookViewId="0">
      <selection activeCell="W4" sqref="W4"/>
    </sheetView>
  </sheetViews>
  <sheetFormatPr defaultRowHeight="15"/>
  <cols>
    <col min="1" max="1" width="4.625" style="614" customWidth="1"/>
    <col min="2" max="2" width="4" style="614" customWidth="1"/>
    <col min="3" max="3" width="25.5" style="614" customWidth="1"/>
    <col min="4" max="4" width="16.125" style="614" customWidth="1"/>
    <col min="5" max="9" width="9" style="614"/>
    <col min="10" max="13" width="9" style="894"/>
    <col min="14" max="14" width="9" style="614"/>
    <col min="15" max="15" width="8.25" style="614" customWidth="1"/>
    <col min="16" max="20" width="10.75" style="614" customWidth="1"/>
    <col min="21" max="21" width="9" style="614"/>
    <col min="22" max="24" width="9" style="894"/>
    <col min="25" max="16384" width="9" style="614"/>
  </cols>
  <sheetData>
    <row r="2" spans="2:24" ht="15" customHeight="1">
      <c r="B2" s="620"/>
      <c r="C2" s="621"/>
      <c r="D2" s="629"/>
      <c r="E2" s="1093" t="s">
        <v>110</v>
      </c>
      <c r="F2" s="1094"/>
      <c r="G2" s="1094"/>
      <c r="H2" s="1094"/>
      <c r="I2" s="1095"/>
      <c r="J2" s="1093" t="s">
        <v>495</v>
      </c>
      <c r="K2" s="1094"/>
      <c r="L2" s="1094"/>
      <c r="M2" s="1094"/>
      <c r="N2" s="1095"/>
      <c r="O2" s="1097" t="s">
        <v>111</v>
      </c>
      <c r="P2" s="1096" t="s">
        <v>493</v>
      </c>
      <c r="Q2" s="1096"/>
      <c r="R2" s="1096"/>
      <c r="S2" s="1096"/>
      <c r="T2" s="1096"/>
      <c r="U2" s="1096" t="s">
        <v>495</v>
      </c>
      <c r="V2" s="1096"/>
      <c r="W2" s="1096"/>
      <c r="X2" s="1096"/>
    </row>
    <row r="3" spans="2:24" ht="45">
      <c r="B3" s="622" t="s">
        <v>463</v>
      </c>
      <c r="C3" s="623" t="s">
        <v>447</v>
      </c>
      <c r="D3" s="624" t="s">
        <v>494</v>
      </c>
      <c r="E3" s="624" t="s">
        <v>464</v>
      </c>
      <c r="F3" s="625">
        <v>2015</v>
      </c>
      <c r="G3" s="625">
        <v>2016</v>
      </c>
      <c r="H3" s="625">
        <v>2017</v>
      </c>
      <c r="I3" s="625" t="s">
        <v>483</v>
      </c>
      <c r="J3" s="627" t="s">
        <v>464</v>
      </c>
      <c r="K3" s="898">
        <v>2015</v>
      </c>
      <c r="L3" s="898">
        <v>2016</v>
      </c>
      <c r="M3" s="898">
        <v>2017</v>
      </c>
      <c r="N3" s="625" t="s">
        <v>483</v>
      </c>
      <c r="O3" s="1097"/>
      <c r="P3" s="804" t="s">
        <v>464</v>
      </c>
      <c r="Q3" s="804">
        <v>2015</v>
      </c>
      <c r="R3" s="804">
        <v>2016</v>
      </c>
      <c r="S3" s="804">
        <v>2017</v>
      </c>
      <c r="T3" s="812" t="s">
        <v>483</v>
      </c>
      <c r="U3" s="898" t="s">
        <v>464</v>
      </c>
      <c r="V3" s="899">
        <v>2015</v>
      </c>
      <c r="W3" s="899">
        <v>2016</v>
      </c>
      <c r="X3" s="899">
        <v>2017</v>
      </c>
    </row>
    <row r="4" spans="2:24" ht="60">
      <c r="B4" s="626">
        <v>1</v>
      </c>
      <c r="C4" s="623" t="s">
        <v>216</v>
      </c>
      <c r="D4" s="624">
        <v>900</v>
      </c>
      <c r="E4" s="624">
        <v>15.1</v>
      </c>
      <c r="F4" s="624" t="s">
        <v>153</v>
      </c>
      <c r="G4" s="624" t="s">
        <v>153</v>
      </c>
      <c r="H4" s="624" t="s">
        <v>153</v>
      </c>
      <c r="I4" s="806" t="s">
        <v>165</v>
      </c>
      <c r="J4" s="808">
        <f>E4*'En. elektryczna'!$D$13</f>
        <v>12.261200000000001</v>
      </c>
      <c r="K4" s="808" t="s">
        <v>165</v>
      </c>
      <c r="L4" s="808" t="s">
        <v>165</v>
      </c>
      <c r="M4" s="808" t="s">
        <v>165</v>
      </c>
      <c r="N4" s="806" t="s">
        <v>165</v>
      </c>
      <c r="O4" s="624" t="s">
        <v>217</v>
      </c>
      <c r="P4" s="805">
        <v>842.98</v>
      </c>
      <c r="Q4" s="804" t="s">
        <v>153</v>
      </c>
      <c r="R4" s="804" t="s">
        <v>153</v>
      </c>
      <c r="S4" s="804" t="s">
        <v>153</v>
      </c>
      <c r="T4" s="814" t="s">
        <v>165</v>
      </c>
      <c r="U4" s="809">
        <f>P4*'Obiekty publiczne'!I5</f>
        <v>46.363900000000001</v>
      </c>
      <c r="V4" s="895" t="s">
        <v>165</v>
      </c>
      <c r="W4" s="895" t="s">
        <v>165</v>
      </c>
      <c r="X4" s="895" t="s">
        <v>165</v>
      </c>
    </row>
    <row r="5" spans="2:24" ht="45">
      <c r="B5" s="622">
        <v>2</v>
      </c>
      <c r="C5" s="623" t="s">
        <v>273</v>
      </c>
      <c r="D5" s="624">
        <v>555.5</v>
      </c>
      <c r="E5" s="624">
        <v>12.2</v>
      </c>
      <c r="F5" s="624">
        <v>14.81</v>
      </c>
      <c r="G5" s="624">
        <v>15.46</v>
      </c>
      <c r="H5" s="624">
        <v>11.53</v>
      </c>
      <c r="I5" s="806" t="s">
        <v>484</v>
      </c>
      <c r="J5" s="808">
        <f>E5*'En. elektryczna'!$D$13</f>
        <v>9.9063999999999997</v>
      </c>
      <c r="K5" s="808">
        <f>F5*'En. elektryczna'!$D$13</f>
        <v>12.025720000000002</v>
      </c>
      <c r="L5" s="808">
        <f>G5*'En. elektryczna'!$D$13</f>
        <v>12.553520000000001</v>
      </c>
      <c r="M5" s="808">
        <f>H5*'En. elektryczna'!$D$13</f>
        <v>9.3623600000000007</v>
      </c>
      <c r="N5" s="806" t="s">
        <v>484</v>
      </c>
      <c r="O5" s="624" t="s">
        <v>241</v>
      </c>
      <c r="P5" s="805" t="s">
        <v>165</v>
      </c>
      <c r="Q5" s="804">
        <v>424</v>
      </c>
      <c r="R5" s="804">
        <v>417</v>
      </c>
      <c r="S5" s="804">
        <v>487</v>
      </c>
      <c r="T5" s="814" t="s">
        <v>485</v>
      </c>
      <c r="U5" s="809" t="s">
        <v>165</v>
      </c>
      <c r="V5" s="895">
        <f>Q5*Wskaźniki!$C$10</f>
        <v>39.856000000000002</v>
      </c>
      <c r="W5" s="895">
        <f>R5*Wskaźniki!$C$10</f>
        <v>39.198</v>
      </c>
      <c r="X5" s="895">
        <f>S5*Wskaźniki!$C$10</f>
        <v>45.777999999999999</v>
      </c>
    </row>
    <row r="6" spans="2:24" ht="75">
      <c r="B6" s="626">
        <v>3</v>
      </c>
      <c r="C6" s="623" t="s">
        <v>465</v>
      </c>
      <c r="D6" s="624" t="s">
        <v>470</v>
      </c>
      <c r="E6" s="624">
        <v>19.05</v>
      </c>
      <c r="F6" s="627">
        <v>26.8</v>
      </c>
      <c r="G6" s="624">
        <v>40.130000000000003</v>
      </c>
      <c r="H6" s="624">
        <v>16.73</v>
      </c>
      <c r="I6" s="806" t="s">
        <v>484</v>
      </c>
      <c r="J6" s="808">
        <f>E6*'En. elektryczna'!$D$13</f>
        <v>15.468600000000002</v>
      </c>
      <c r="K6" s="808">
        <f>F6*'En. elektryczna'!$D$13</f>
        <v>21.761600000000001</v>
      </c>
      <c r="L6" s="808">
        <f>G6*'En. elektryczna'!$D$13</f>
        <v>32.585560000000001</v>
      </c>
      <c r="M6" s="808">
        <f>H6*'En. elektryczna'!$D$13</f>
        <v>13.584760000000001</v>
      </c>
      <c r="N6" s="806" t="s">
        <v>484</v>
      </c>
      <c r="O6" s="624" t="s">
        <v>241</v>
      </c>
      <c r="P6" s="805" t="s">
        <v>165</v>
      </c>
      <c r="Q6" s="804">
        <v>904.31</v>
      </c>
      <c r="R6" s="804">
        <v>831.31</v>
      </c>
      <c r="S6" s="804">
        <v>839.45</v>
      </c>
      <c r="T6" s="814" t="s">
        <v>484</v>
      </c>
      <c r="U6" s="809" t="s">
        <v>165</v>
      </c>
      <c r="V6" s="895">
        <f>Q6*Wskaźniki!$C$10</f>
        <v>85.005139999999997</v>
      </c>
      <c r="W6" s="895">
        <f>R6*Wskaźniki!$C$10</f>
        <v>78.143139999999988</v>
      </c>
      <c r="X6" s="895">
        <f>S6*Wskaźniki!$C$10</f>
        <v>78.908300000000011</v>
      </c>
    </row>
    <row r="7" spans="2:24" ht="90">
      <c r="B7" s="622">
        <v>4</v>
      </c>
      <c r="C7" s="623" t="s">
        <v>466</v>
      </c>
      <c r="D7" s="624">
        <v>3500</v>
      </c>
      <c r="E7" s="624">
        <v>28.98</v>
      </c>
      <c r="F7" s="627">
        <v>26</v>
      </c>
      <c r="G7" s="624">
        <v>24.62</v>
      </c>
      <c r="H7" s="624">
        <v>21.08</v>
      </c>
      <c r="I7" s="806" t="s">
        <v>484</v>
      </c>
      <c r="J7" s="808">
        <f>E7*'En. elektryczna'!$D$13</f>
        <v>23.531760000000002</v>
      </c>
      <c r="K7" s="808">
        <f>F7*'En. elektryczna'!$D$13</f>
        <v>21.112000000000002</v>
      </c>
      <c r="L7" s="808">
        <f>G7*'En. elektryczna'!$D$13</f>
        <v>19.991440000000001</v>
      </c>
      <c r="M7" s="808">
        <f>H7*'En. elektryczna'!$D$13</f>
        <v>17.116959999999999</v>
      </c>
      <c r="N7" s="806" t="s">
        <v>484</v>
      </c>
      <c r="O7" s="624" t="s">
        <v>241</v>
      </c>
      <c r="P7" s="805">
        <v>1263</v>
      </c>
      <c r="Q7" s="804">
        <v>1141</v>
      </c>
      <c r="R7" s="804">
        <v>1243</v>
      </c>
      <c r="S7" s="804">
        <v>1114</v>
      </c>
      <c r="T7" s="814" t="s">
        <v>484</v>
      </c>
      <c r="U7" s="809">
        <f>P7*'Obiekty publiczne'!$I$8</f>
        <v>118.72199999999999</v>
      </c>
      <c r="V7" s="895">
        <f>Q7*'Obiekty publiczne'!$I$8</f>
        <v>107.254</v>
      </c>
      <c r="W7" s="895">
        <f>R7*'Obiekty publiczne'!$I$8</f>
        <v>116.842</v>
      </c>
      <c r="X7" s="895">
        <f>S7*'Obiekty publiczne'!$I$8</f>
        <v>104.71599999999999</v>
      </c>
    </row>
    <row r="8" spans="2:24" ht="45">
      <c r="B8" s="626">
        <v>5</v>
      </c>
      <c r="C8" s="623" t="s">
        <v>467</v>
      </c>
      <c r="D8" s="624">
        <v>894</v>
      </c>
      <c r="E8" s="624">
        <v>19.48</v>
      </c>
      <c r="F8" s="624">
        <v>18.8</v>
      </c>
      <c r="G8" s="624">
        <v>19.96</v>
      </c>
      <c r="H8" s="624">
        <v>18.32</v>
      </c>
      <c r="I8" s="806" t="s">
        <v>484</v>
      </c>
      <c r="J8" s="808">
        <f>E8*'En. elektryczna'!$D$13</f>
        <v>15.817760000000002</v>
      </c>
      <c r="K8" s="808">
        <f>F8*'En. elektryczna'!$D$13</f>
        <v>15.265600000000001</v>
      </c>
      <c r="L8" s="808">
        <f>G8*'En. elektryczna'!$D$13</f>
        <v>16.207520000000002</v>
      </c>
      <c r="M8" s="808">
        <f>H8*'En. elektryczna'!$D$13</f>
        <v>14.875840000000002</v>
      </c>
      <c r="N8" s="806" t="s">
        <v>484</v>
      </c>
      <c r="O8" s="624" t="s">
        <v>241</v>
      </c>
      <c r="P8" s="805" t="s">
        <v>165</v>
      </c>
      <c r="Q8" s="804">
        <v>515</v>
      </c>
      <c r="R8" s="804">
        <v>460</v>
      </c>
      <c r="S8" s="804">
        <v>552</v>
      </c>
      <c r="T8" s="814" t="s">
        <v>485</v>
      </c>
      <c r="U8" s="809" t="s">
        <v>165</v>
      </c>
      <c r="V8" s="895">
        <f>Q8*Wskaźniki!$C$10</f>
        <v>48.41</v>
      </c>
      <c r="W8" s="895">
        <f>R8*Wskaźniki!$C$10</f>
        <v>43.24</v>
      </c>
      <c r="X8" s="895">
        <f>S8*Wskaźniki!$C$10</f>
        <v>51.887999999999998</v>
      </c>
    </row>
    <row r="9" spans="2:24" ht="60">
      <c r="B9" s="622">
        <v>6</v>
      </c>
      <c r="C9" s="623" t="s">
        <v>288</v>
      </c>
      <c r="D9" s="630" t="s">
        <v>471</v>
      </c>
      <c r="E9" s="631">
        <f>AVERAGE(F9:G9)</f>
        <v>78.855000000000004</v>
      </c>
      <c r="F9" s="632">
        <v>82.01</v>
      </c>
      <c r="G9" s="632">
        <v>75.7</v>
      </c>
      <c r="H9" s="629">
        <v>100.01</v>
      </c>
      <c r="I9" s="807" t="s">
        <v>485</v>
      </c>
      <c r="J9" s="808">
        <f>E9*'En. elektryczna'!$D$13</f>
        <v>64.030260000000013</v>
      </c>
      <c r="K9" s="808">
        <f>F9*'En. elektryczna'!$D$13</f>
        <v>66.592120000000008</v>
      </c>
      <c r="L9" s="808">
        <f>G9*'En. elektryczna'!$D$13</f>
        <v>61.46840000000001</v>
      </c>
      <c r="M9" s="808">
        <f>H9*'En. elektryczna'!$D$13</f>
        <v>81.208120000000008</v>
      </c>
      <c r="N9" s="807" t="s">
        <v>485</v>
      </c>
      <c r="O9" s="624" t="s">
        <v>241</v>
      </c>
      <c r="P9" s="805" t="s">
        <v>165</v>
      </c>
      <c r="Q9" s="810">
        <v>2403.8000000000002</v>
      </c>
      <c r="R9" s="810">
        <v>2144.1999999999998</v>
      </c>
      <c r="S9" s="810">
        <v>2155.1999999999998</v>
      </c>
      <c r="T9" s="814" t="s">
        <v>484</v>
      </c>
      <c r="U9" s="809" t="s">
        <v>165</v>
      </c>
      <c r="V9" s="895">
        <f>Q9*Wskaźniki!$C$10</f>
        <v>225.95720000000003</v>
      </c>
      <c r="W9" s="895">
        <f>R9*Wskaźniki!$C$10</f>
        <v>201.55479999999997</v>
      </c>
      <c r="X9" s="895">
        <f>S9*Wskaźniki!$C$10</f>
        <v>202.58879999999999</v>
      </c>
    </row>
    <row r="10" spans="2:24" ht="45">
      <c r="B10" s="626">
        <v>7</v>
      </c>
      <c r="C10" s="628" t="s">
        <v>468</v>
      </c>
      <c r="D10" s="630">
        <v>16276.28</v>
      </c>
      <c r="E10" s="624">
        <v>759.04</v>
      </c>
      <c r="F10" s="627">
        <v>638.29999999999995</v>
      </c>
      <c r="G10" s="624">
        <v>685.06</v>
      </c>
      <c r="H10" s="627">
        <v>725.3</v>
      </c>
      <c r="I10" s="808" t="s">
        <v>484</v>
      </c>
      <c r="J10" s="808">
        <f>E10*'En. elektryczna'!$D$13</f>
        <v>616.34047999999996</v>
      </c>
      <c r="K10" s="808">
        <f>F10*'En. elektryczna'!$D$13</f>
        <v>518.29960000000005</v>
      </c>
      <c r="L10" s="808">
        <f>G10*'En. elektryczna'!$D$13</f>
        <v>556.26872000000003</v>
      </c>
      <c r="M10" s="808">
        <f>H10*'En. elektryczna'!$D$13</f>
        <v>588.94359999999995</v>
      </c>
      <c r="N10" s="808" t="s">
        <v>484</v>
      </c>
      <c r="O10" s="624" t="s">
        <v>290</v>
      </c>
      <c r="P10" s="805">
        <v>11297.81</v>
      </c>
      <c r="Q10" s="804">
        <v>9483</v>
      </c>
      <c r="R10" s="804">
        <v>8981</v>
      </c>
      <c r="S10" s="804">
        <v>10715</v>
      </c>
      <c r="T10" s="814" t="s">
        <v>485</v>
      </c>
      <c r="U10" s="895" t="str">
        <f>'Obiekty publiczne'!K10</f>
        <v>-</v>
      </c>
      <c r="V10" s="895">
        <f>Q10*Wskaźniki!$C$9</f>
        <v>521.56500000000005</v>
      </c>
      <c r="W10" s="895">
        <f>R10*Wskaźniki!$C$9</f>
        <v>493.95499999999998</v>
      </c>
      <c r="X10" s="895">
        <f>S10*Wskaźniki!$C$9</f>
        <v>589.32500000000005</v>
      </c>
    </row>
    <row r="11" spans="2:24" ht="90">
      <c r="B11" s="622">
        <v>8</v>
      </c>
      <c r="C11" s="623" t="s">
        <v>469</v>
      </c>
      <c r="D11" s="624">
        <v>5406</v>
      </c>
      <c r="E11" s="624">
        <v>388.44</v>
      </c>
      <c r="F11" s="624">
        <v>326.37</v>
      </c>
      <c r="G11" s="624">
        <v>310.06</v>
      </c>
      <c r="H11" s="627">
        <v>324.2</v>
      </c>
      <c r="I11" s="808" t="s">
        <v>484</v>
      </c>
      <c r="J11" s="808">
        <f>E11*'En. elektryczna'!$D$13</f>
        <v>315.41328000000004</v>
      </c>
      <c r="K11" s="808">
        <f>F11*'En. elektryczna'!$D$13</f>
        <v>265.01244000000003</v>
      </c>
      <c r="L11" s="808">
        <f>G11*'En. elektryczna'!$D$13</f>
        <v>251.76872000000003</v>
      </c>
      <c r="M11" s="808">
        <f>H11*'En. elektryczna'!$D$13</f>
        <v>263.25040000000001</v>
      </c>
      <c r="N11" s="808" t="s">
        <v>484</v>
      </c>
      <c r="O11" s="624" t="s">
        <v>290</v>
      </c>
      <c r="P11" s="811">
        <f>(54058+53294+36185)/3</f>
        <v>47845.666666666664</v>
      </c>
      <c r="Q11" s="804">
        <v>54058</v>
      </c>
      <c r="R11" s="804">
        <v>53294</v>
      </c>
      <c r="S11" s="804">
        <v>36185</v>
      </c>
      <c r="T11" s="814" t="s">
        <v>484</v>
      </c>
      <c r="U11" s="895">
        <f>'Obiekty publiczne'!K11</f>
        <v>1039.29</v>
      </c>
      <c r="V11" s="895">
        <f>Q11*Wskaźniki!$C$9</f>
        <v>2973.19</v>
      </c>
      <c r="W11" s="895">
        <f>R11*Wskaźniki!$C$9</f>
        <v>2931.17</v>
      </c>
      <c r="X11" s="895">
        <f>S11*Wskaźniki!$C$9</f>
        <v>1990.175</v>
      </c>
    </row>
    <row r="12" spans="2:24" s="896" customFormat="1">
      <c r="B12" s="1092" t="s">
        <v>13</v>
      </c>
      <c r="C12" s="1092"/>
      <c r="D12" s="1092"/>
      <c r="E12" s="813">
        <f>SUM(E4:E11)</f>
        <v>1321.145</v>
      </c>
      <c r="F12" s="813">
        <f t="shared" ref="F12:H12" si="0">SUM(F4:F11)</f>
        <v>1133.0900000000001</v>
      </c>
      <c r="G12" s="813">
        <f t="shared" si="0"/>
        <v>1170.99</v>
      </c>
      <c r="H12" s="813">
        <f t="shared" si="0"/>
        <v>1217.17</v>
      </c>
      <c r="I12" s="813" t="s">
        <v>484</v>
      </c>
      <c r="J12" s="897">
        <f>SUM(J4:J11)</f>
        <v>1072.76974</v>
      </c>
      <c r="K12" s="897">
        <f t="shared" ref="K12:N12" si="1">SUM(K4:K11)</f>
        <v>920.06907999999999</v>
      </c>
      <c r="L12" s="897">
        <f t="shared" si="1"/>
        <v>950.84388000000013</v>
      </c>
      <c r="M12" s="897">
        <f t="shared" si="1"/>
        <v>988.34204</v>
      </c>
      <c r="N12" s="897">
        <f t="shared" si="1"/>
        <v>0</v>
      </c>
      <c r="P12" s="897">
        <f>SUM(P4:P11)</f>
        <v>61249.456666666665</v>
      </c>
      <c r="Q12" s="897">
        <f t="shared" ref="Q12:S12" si="2">SUM(Q4:Q11)</f>
        <v>68929.11</v>
      </c>
      <c r="R12" s="897">
        <f t="shared" si="2"/>
        <v>67370.509999999995</v>
      </c>
      <c r="S12" s="897">
        <f t="shared" si="2"/>
        <v>52047.65</v>
      </c>
      <c r="T12" s="813" t="s">
        <v>484</v>
      </c>
      <c r="U12" s="813">
        <f>SUM(U4:U11)</f>
        <v>1204.3759</v>
      </c>
      <c r="V12" s="813">
        <f t="shared" ref="V12:X12" si="3">SUM(V4:V11)</f>
        <v>4001.2373400000001</v>
      </c>
      <c r="W12" s="813">
        <f t="shared" si="3"/>
        <v>3904.1029399999998</v>
      </c>
      <c r="X12" s="813">
        <f t="shared" si="3"/>
        <v>3063.3791000000001</v>
      </c>
    </row>
  </sheetData>
  <mergeCells count="6">
    <mergeCell ref="B12:D12"/>
    <mergeCell ref="J2:N2"/>
    <mergeCell ref="U2:X2"/>
    <mergeCell ref="O2:O3"/>
    <mergeCell ref="E2:I2"/>
    <mergeCell ref="P2:T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L22"/>
  <sheetViews>
    <sheetView view="pageBreakPreview" zoomScale="80" zoomScaleNormal="89" zoomScaleSheetLayoutView="80" workbookViewId="0">
      <selection activeCell="B10" sqref="B10:E12"/>
    </sheetView>
  </sheetViews>
  <sheetFormatPr defaultRowHeight="15"/>
  <cols>
    <col min="1" max="1" width="2.5" style="13" customWidth="1"/>
    <col min="2" max="2" width="6" style="237" customWidth="1"/>
    <col min="3" max="3" width="35.75" style="13" customWidth="1"/>
    <col min="4" max="4" width="13.5" style="13" bestFit="1" customWidth="1"/>
    <col min="5" max="5" width="15.625" style="13" customWidth="1"/>
    <col min="6" max="6" width="13.75" style="13" customWidth="1"/>
    <col min="7" max="7" width="12.625" style="13" customWidth="1"/>
    <col min="8" max="8" width="12.375" style="13" customWidth="1"/>
    <col min="9" max="9" width="14.25" style="13" customWidth="1"/>
    <col min="10" max="10" width="18" style="13" customWidth="1"/>
    <col min="11" max="11" width="17.25" style="13" customWidth="1"/>
    <col min="12" max="12" width="18.75" style="13" customWidth="1"/>
    <col min="13" max="13" width="11.625" style="13" customWidth="1"/>
    <col min="14" max="14" width="9" style="13" customWidth="1"/>
    <col min="15" max="17" width="11.625" style="13" customWidth="1"/>
    <col min="18" max="18" width="9" style="13" customWidth="1"/>
    <col min="19" max="16384" width="9" style="13"/>
  </cols>
  <sheetData>
    <row r="1" spans="2:12" s="20" customFormat="1" ht="15" customHeight="1" thickBot="1">
      <c r="B1" s="237"/>
    </row>
    <row r="2" spans="2:12" s="20" customFormat="1" ht="19.5" thickBot="1">
      <c r="B2" s="238" t="s">
        <v>304</v>
      </c>
      <c r="C2" s="22"/>
      <c r="D2" s="22"/>
      <c r="E2" s="22"/>
      <c r="F2" s="22"/>
      <c r="G2" s="22"/>
      <c r="H2" s="22"/>
      <c r="I2" s="22"/>
      <c r="J2" s="22"/>
      <c r="K2" s="23"/>
    </row>
    <row r="3" spans="2:12" s="20" customFormat="1" ht="15" customHeight="1" thickBot="1">
      <c r="B3" s="237"/>
    </row>
    <row r="4" spans="2:12" ht="66">
      <c r="B4" s="561" t="s">
        <v>107</v>
      </c>
      <c r="C4" s="562" t="s">
        <v>108</v>
      </c>
      <c r="D4" s="562" t="s">
        <v>109</v>
      </c>
      <c r="E4" s="562" t="s">
        <v>110</v>
      </c>
      <c r="F4" s="562" t="s">
        <v>120</v>
      </c>
      <c r="G4" s="562" t="s">
        <v>111</v>
      </c>
      <c r="H4" s="562" t="s">
        <v>100</v>
      </c>
      <c r="I4" s="562" t="s">
        <v>99</v>
      </c>
      <c r="J4" s="563" t="s">
        <v>164</v>
      </c>
      <c r="K4" s="562" t="s">
        <v>112</v>
      </c>
      <c r="L4" s="564" t="s">
        <v>245</v>
      </c>
    </row>
    <row r="5" spans="2:12" ht="34.5" customHeight="1">
      <c r="B5" s="565">
        <v>1</v>
      </c>
      <c r="C5" s="236" t="s">
        <v>243</v>
      </c>
      <c r="D5" s="179">
        <v>10280</v>
      </c>
      <c r="E5" s="180">
        <v>9461</v>
      </c>
      <c r="F5" s="180">
        <v>0.81200000000000006</v>
      </c>
      <c r="G5" s="181" t="s">
        <v>7</v>
      </c>
      <c r="H5" s="180">
        <f>1267657*0.0373</f>
        <v>47283.606099999997</v>
      </c>
      <c r="I5" s="182">
        <v>5.5E-2</v>
      </c>
      <c r="J5" s="179">
        <f>E5*F5</f>
        <v>7682.3320000000003</v>
      </c>
      <c r="K5" s="441">
        <f>I5*H5</f>
        <v>2600.5983354999998</v>
      </c>
      <c r="L5" s="566" t="s">
        <v>165</v>
      </c>
    </row>
    <row r="6" spans="2:12" ht="42" customHeight="1">
      <c r="B6" s="567">
        <v>2</v>
      </c>
      <c r="C6" s="233" t="s">
        <v>244</v>
      </c>
      <c r="D6" s="167">
        <v>56500</v>
      </c>
      <c r="E6" s="167">
        <v>38000</v>
      </c>
      <c r="F6" s="168">
        <v>0.81200000000000006</v>
      </c>
      <c r="G6" s="166" t="s">
        <v>7</v>
      </c>
      <c r="H6" s="167">
        <f>12397448*0.0373</f>
        <v>462424.81040000002</v>
      </c>
      <c r="I6" s="169">
        <v>5.5E-2</v>
      </c>
      <c r="J6" s="167">
        <f>E6*F6</f>
        <v>30856.000000000004</v>
      </c>
      <c r="K6" s="167">
        <f>H6*I6</f>
        <v>25433.364572000002</v>
      </c>
      <c r="L6" s="568" t="s">
        <v>165</v>
      </c>
    </row>
    <row r="7" spans="2:12" ht="39.75" customHeight="1" thickBot="1">
      <c r="B7" s="569">
        <v>3</v>
      </c>
      <c r="C7" s="570" t="s">
        <v>247</v>
      </c>
      <c r="D7" s="571">
        <v>2063</v>
      </c>
      <c r="E7" s="571">
        <v>46.76</v>
      </c>
      <c r="F7" s="572">
        <f>0.812</f>
        <v>0.81200000000000006</v>
      </c>
      <c r="G7" s="573" t="s">
        <v>92</v>
      </c>
      <c r="H7" s="571">
        <f>17200*0.0357</f>
        <v>614.04000000000008</v>
      </c>
      <c r="I7" s="574">
        <v>7.5999999999999998E-2</v>
      </c>
      <c r="J7" s="571">
        <f>E7*F7</f>
        <v>37.969120000000004</v>
      </c>
      <c r="K7" s="571">
        <f>H7*I7</f>
        <v>46.667040000000007</v>
      </c>
      <c r="L7" s="575" t="s">
        <v>246</v>
      </c>
    </row>
    <row r="8" spans="2:12" ht="15.75" thickBot="1">
      <c r="C8" s="137" t="s">
        <v>13</v>
      </c>
      <c r="D8" s="138">
        <f>SUM(D5:D7)</f>
        <v>68843</v>
      </c>
      <c r="E8" s="138">
        <f>SUM(E5:E7)</f>
        <v>47507.76</v>
      </c>
      <c r="F8" s="140"/>
      <c r="H8" s="139">
        <f>SUM(H5:H7)</f>
        <v>510322.45649999997</v>
      </c>
      <c r="I8" s="293"/>
      <c r="J8" s="138">
        <f>SUM(J5:J7)</f>
        <v>38576.301120000004</v>
      </c>
      <c r="K8" s="138">
        <f>SUM(K5:K7)</f>
        <v>28080.629947500001</v>
      </c>
    </row>
    <row r="9" spans="2:12" ht="15.75" thickBot="1"/>
    <row r="10" spans="2:12">
      <c r="B10" s="1098" t="s">
        <v>305</v>
      </c>
      <c r="C10" s="1099"/>
      <c r="D10" s="1099"/>
      <c r="E10" s="1100"/>
    </row>
    <row r="11" spans="2:12">
      <c r="B11" s="1101"/>
      <c r="C11" s="1102"/>
      <c r="D11" s="1102"/>
      <c r="E11" s="1103"/>
    </row>
    <row r="12" spans="2:12" ht="15.75" thickBot="1">
      <c r="B12" s="1104"/>
      <c r="C12" s="1105"/>
      <c r="D12" s="1105"/>
      <c r="E12" s="1106"/>
    </row>
    <row r="13" spans="2:12">
      <c r="J13" s="297"/>
    </row>
    <row r="19" spans="10:11">
      <c r="J19" s="310"/>
      <c r="K19" s="311"/>
    </row>
    <row r="20" spans="10:11">
      <c r="J20" s="310"/>
      <c r="K20" s="311"/>
    </row>
    <row r="21" spans="10:11">
      <c r="J21" s="310"/>
      <c r="K21" s="311"/>
    </row>
    <row r="22" spans="10:11">
      <c r="J22" s="310"/>
      <c r="K22" s="311"/>
    </row>
  </sheetData>
  <autoFilter ref="B4:K8" xr:uid="{00000000-0009-0000-0000-00000F000000}"/>
  <mergeCells count="1">
    <mergeCell ref="B10:E12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8970D-89C1-4299-8BC1-73572B38B9BD}">
  <sheetPr>
    <tabColor theme="7"/>
  </sheetPr>
  <dimension ref="B1:M86"/>
  <sheetViews>
    <sheetView showGridLines="0" view="pageBreakPreview" zoomScale="60" zoomScaleNormal="100" workbookViewId="0">
      <selection activeCell="U7" sqref="U7"/>
    </sheetView>
  </sheetViews>
  <sheetFormatPr defaultRowHeight="15"/>
  <cols>
    <col min="1" max="1" width="3.125" style="611" customWidth="1"/>
    <col min="2" max="2" width="9" style="611"/>
    <col min="3" max="3" width="33.75" style="613" customWidth="1"/>
    <col min="4" max="4" width="23.125" style="613" customWidth="1"/>
    <col min="5" max="5" width="14.375" style="614" customWidth="1"/>
    <col min="6" max="6" width="15.625" style="612" customWidth="1"/>
    <col min="7" max="7" width="17.25" style="611" customWidth="1"/>
    <col min="8" max="9" width="17.75" style="619" customWidth="1"/>
    <col min="10" max="16384" width="9" style="611"/>
  </cols>
  <sheetData>
    <row r="1" spans="2:13" ht="15.75" thickBot="1"/>
    <row r="2" spans="2:13" ht="15.75" thickBot="1">
      <c r="B2" s="1107" t="s">
        <v>496</v>
      </c>
      <c r="C2" s="1108"/>
      <c r="D2" s="1108"/>
      <c r="E2" s="1108"/>
      <c r="F2" s="1108"/>
      <c r="G2" s="1108"/>
      <c r="H2" s="1108"/>
      <c r="I2" s="1108"/>
      <c r="J2" s="1108"/>
      <c r="K2" s="1108"/>
      <c r="L2" s="1108"/>
      <c r="M2" s="1109"/>
    </row>
    <row r="4" spans="2:13" ht="30">
      <c r="B4" s="616" t="s">
        <v>446</v>
      </c>
      <c r="C4" s="615" t="s">
        <v>447</v>
      </c>
      <c r="D4" s="615" t="s">
        <v>448</v>
      </c>
      <c r="E4" s="616" t="s">
        <v>111</v>
      </c>
      <c r="F4" s="615" t="s">
        <v>449</v>
      </c>
      <c r="G4" s="616" t="s">
        <v>133</v>
      </c>
      <c r="H4" s="618" t="s">
        <v>450</v>
      </c>
      <c r="I4" s="618" t="s">
        <v>451</v>
      </c>
      <c r="K4" s="1112" t="s">
        <v>452</v>
      </c>
      <c r="L4" s="1113"/>
      <c r="M4" s="1114"/>
    </row>
    <row r="5" spans="2:13" ht="30">
      <c r="B5" s="616">
        <v>1</v>
      </c>
      <c r="C5" s="615" t="s">
        <v>306</v>
      </c>
      <c r="D5" s="615" t="s">
        <v>307</v>
      </c>
      <c r="E5" s="616" t="s">
        <v>7</v>
      </c>
      <c r="F5" s="615">
        <v>9.2758999999999994E-2</v>
      </c>
      <c r="G5" s="616" t="s">
        <v>308</v>
      </c>
      <c r="H5" s="618">
        <f>F5*1000000*$L$5</f>
        <v>3350.4550799999997</v>
      </c>
      <c r="I5" s="618">
        <f>H5*$L$8</f>
        <v>12061.638288</v>
      </c>
      <c r="K5" s="617" t="s">
        <v>453</v>
      </c>
      <c r="L5" s="617">
        <v>3.6119999999999999E-2</v>
      </c>
      <c r="M5" s="617" t="s">
        <v>454</v>
      </c>
    </row>
    <row r="6" spans="2:13" ht="45">
      <c r="B6" s="616">
        <v>2</v>
      </c>
      <c r="C6" s="615" t="s">
        <v>310</v>
      </c>
      <c r="D6" s="615" t="s">
        <v>311</v>
      </c>
      <c r="E6" s="616" t="s">
        <v>444</v>
      </c>
      <c r="F6" s="615">
        <v>74.58</v>
      </c>
      <c r="G6" s="616" t="s">
        <v>309</v>
      </c>
      <c r="H6" s="618">
        <f>F6*$L$10</f>
        <v>1591.5372</v>
      </c>
      <c r="I6" s="618">
        <f>H6*$L$7</f>
        <v>440.85580440000001</v>
      </c>
      <c r="K6" s="617" t="s">
        <v>453</v>
      </c>
      <c r="L6" s="617">
        <v>0.71599999999999997</v>
      </c>
      <c r="M6" s="617" t="s">
        <v>455</v>
      </c>
    </row>
    <row r="7" spans="2:13" ht="45">
      <c r="B7" s="616">
        <v>3</v>
      </c>
      <c r="C7" s="615" t="s">
        <v>310</v>
      </c>
      <c r="D7" s="615" t="s">
        <v>311</v>
      </c>
      <c r="E7" s="616" t="s">
        <v>443</v>
      </c>
      <c r="F7" s="615">
        <v>3.3279999999999998</v>
      </c>
      <c r="G7" s="616" t="s">
        <v>309</v>
      </c>
      <c r="H7" s="618">
        <f>F7*$L$13</f>
        <v>134.4512</v>
      </c>
      <c r="I7" s="618">
        <f>H7*$L$7</f>
        <v>37.242982400000002</v>
      </c>
      <c r="K7" s="617" t="s">
        <v>456</v>
      </c>
      <c r="L7" s="617">
        <v>0.27700000000000002</v>
      </c>
      <c r="M7" s="617" t="s">
        <v>457</v>
      </c>
    </row>
    <row r="8" spans="2:13" ht="30">
      <c r="B8" s="616">
        <v>4</v>
      </c>
      <c r="C8" s="615" t="s">
        <v>312</v>
      </c>
      <c r="D8" s="615" t="s">
        <v>313</v>
      </c>
      <c r="E8" s="616" t="s">
        <v>444</v>
      </c>
      <c r="F8" s="615">
        <v>5.5</v>
      </c>
      <c r="G8" s="616" t="s">
        <v>309</v>
      </c>
      <c r="H8" s="618">
        <f>F8*$L$10</f>
        <v>117.37</v>
      </c>
      <c r="I8" s="618">
        <f>H8*$L$7</f>
        <v>32.511490000000002</v>
      </c>
      <c r="K8" s="617" t="s">
        <v>458</v>
      </c>
      <c r="L8" s="617">
        <v>3.6</v>
      </c>
      <c r="M8" s="617" t="s">
        <v>454</v>
      </c>
    </row>
    <row r="9" spans="2:13" ht="45">
      <c r="B9" s="616">
        <v>5</v>
      </c>
      <c r="C9" s="615" t="s">
        <v>314</v>
      </c>
      <c r="D9" s="615" t="s">
        <v>315</v>
      </c>
      <c r="E9" s="616" t="s">
        <v>7</v>
      </c>
      <c r="F9" s="615">
        <v>1.5921000000000001E-2</v>
      </c>
      <c r="G9" s="616" t="s">
        <v>308</v>
      </c>
      <c r="H9" s="618">
        <f t="shared" ref="H9:H10" si="0">F9*1000000*$L$5</f>
        <v>575.06652000000008</v>
      </c>
      <c r="I9" s="618">
        <f t="shared" ref="I9:I10" si="1">H9*$L$8</f>
        <v>2070.2394720000002</v>
      </c>
      <c r="K9" s="1112" t="s">
        <v>459</v>
      </c>
      <c r="L9" s="1113"/>
      <c r="M9" s="1114"/>
    </row>
    <row r="10" spans="2:13" ht="30">
      <c r="B10" s="1110">
        <v>6</v>
      </c>
      <c r="C10" s="615" t="s">
        <v>316</v>
      </c>
      <c r="D10" s="615" t="s">
        <v>317</v>
      </c>
      <c r="E10" s="616" t="s">
        <v>7</v>
      </c>
      <c r="F10" s="615">
        <v>1.1370999999999999E-2</v>
      </c>
      <c r="G10" s="616" t="s">
        <v>308</v>
      </c>
      <c r="H10" s="618">
        <f t="shared" si="0"/>
        <v>410.72051999999996</v>
      </c>
      <c r="I10" s="618">
        <f t="shared" si="1"/>
        <v>1478.5938719999999</v>
      </c>
      <c r="K10" s="617" t="s">
        <v>460</v>
      </c>
      <c r="L10" s="617">
        <v>21.34</v>
      </c>
      <c r="M10" s="617" t="s">
        <v>454</v>
      </c>
    </row>
    <row r="11" spans="2:13" ht="30">
      <c r="B11" s="1111"/>
      <c r="C11" s="615" t="s">
        <v>316</v>
      </c>
      <c r="D11" s="615" t="s">
        <v>317</v>
      </c>
      <c r="E11" s="616" t="s">
        <v>443</v>
      </c>
      <c r="F11" s="615">
        <v>24.14</v>
      </c>
      <c r="G11" s="616" t="s">
        <v>309</v>
      </c>
      <c r="H11" s="618">
        <f>F11*$L$13</f>
        <v>975.25599999999997</v>
      </c>
      <c r="I11" s="618">
        <f>H11*$L$8</f>
        <v>3510.9216000000001</v>
      </c>
      <c r="K11" s="617" t="s">
        <v>456</v>
      </c>
      <c r="L11" s="617">
        <v>0.27700000000000002</v>
      </c>
      <c r="M11" s="617" t="s">
        <v>457</v>
      </c>
    </row>
    <row r="12" spans="2:13" ht="30">
      <c r="B12" s="616">
        <v>7</v>
      </c>
      <c r="C12" s="615" t="s">
        <v>318</v>
      </c>
      <c r="D12" s="615" t="s">
        <v>319</v>
      </c>
      <c r="E12" s="616" t="s">
        <v>7</v>
      </c>
      <c r="F12" s="615">
        <v>6.1363000000000001E-2</v>
      </c>
      <c r="G12" s="616" t="s">
        <v>308</v>
      </c>
      <c r="H12" s="618">
        <f t="shared" ref="H12:H13" si="2">F12*1000000*$L$5</f>
        <v>2216.43156</v>
      </c>
      <c r="I12" s="618">
        <f t="shared" ref="I12:I15" si="3">H12*$L$8</f>
        <v>7979.1536160000005</v>
      </c>
      <c r="K12" s="1112" t="s">
        <v>461</v>
      </c>
      <c r="L12" s="1113"/>
      <c r="M12" s="1114"/>
    </row>
    <row r="13" spans="2:13" ht="45">
      <c r="B13" s="1110">
        <v>8</v>
      </c>
      <c r="C13" s="615" t="s">
        <v>320</v>
      </c>
      <c r="D13" s="615" t="s">
        <v>321</v>
      </c>
      <c r="E13" s="616" t="s">
        <v>7</v>
      </c>
      <c r="F13" s="615">
        <v>1.0999999999999999E-2</v>
      </c>
      <c r="G13" s="616" t="s">
        <v>308</v>
      </c>
      <c r="H13" s="618">
        <f t="shared" si="2"/>
        <v>397.32</v>
      </c>
      <c r="I13" s="618">
        <f t="shared" si="3"/>
        <v>1430.3520000000001</v>
      </c>
      <c r="K13" s="617" t="s">
        <v>460</v>
      </c>
      <c r="L13" s="617">
        <v>40.4</v>
      </c>
      <c r="M13" s="617" t="s">
        <v>454</v>
      </c>
    </row>
    <row r="14" spans="2:13" ht="45">
      <c r="B14" s="1111"/>
      <c r="C14" s="615" t="s">
        <v>320</v>
      </c>
      <c r="D14" s="615" t="s">
        <v>321</v>
      </c>
      <c r="E14" s="616" t="s">
        <v>443</v>
      </c>
      <c r="F14" s="615">
        <v>10</v>
      </c>
      <c r="G14" s="616" t="s">
        <v>309</v>
      </c>
      <c r="H14" s="618">
        <f>F14*$L$13</f>
        <v>404</v>
      </c>
      <c r="I14" s="618">
        <f t="shared" si="3"/>
        <v>1454.4</v>
      </c>
      <c r="K14" s="617" t="s">
        <v>456</v>
      </c>
      <c r="L14" s="617">
        <v>0.27700000000000002</v>
      </c>
      <c r="M14" s="617" t="s">
        <v>457</v>
      </c>
    </row>
    <row r="15" spans="2:13" ht="30">
      <c r="B15" s="616">
        <v>9</v>
      </c>
      <c r="C15" s="615" t="s">
        <v>322</v>
      </c>
      <c r="D15" s="615" t="s">
        <v>323</v>
      </c>
      <c r="E15" s="616" t="s">
        <v>443</v>
      </c>
      <c r="F15" s="615">
        <v>23.949000000000002</v>
      </c>
      <c r="G15" s="616" t="s">
        <v>309</v>
      </c>
      <c r="H15" s="618">
        <f>F15*$L$13</f>
        <v>967.53960000000006</v>
      </c>
      <c r="I15" s="618">
        <f t="shared" si="3"/>
        <v>3483.1425600000002</v>
      </c>
      <c r="K15" s="1112" t="s">
        <v>462</v>
      </c>
      <c r="L15" s="1113"/>
      <c r="M15" s="1114"/>
    </row>
    <row r="16" spans="2:13" ht="45">
      <c r="B16" s="1110">
        <v>10</v>
      </c>
      <c r="C16" s="615" t="s">
        <v>324</v>
      </c>
      <c r="D16" s="615" t="s">
        <v>325</v>
      </c>
      <c r="E16" s="616" t="s">
        <v>7</v>
      </c>
      <c r="F16" s="615">
        <v>2.3709999999999998E-2</v>
      </c>
      <c r="G16" s="616" t="s">
        <v>308</v>
      </c>
      <c r="H16" s="618">
        <f>F16*1000000*$L$5</f>
        <v>856.40520000000004</v>
      </c>
      <c r="I16" s="618">
        <f>H16*$L$8</f>
        <v>3083.05872</v>
      </c>
      <c r="K16" s="617" t="s">
        <v>460</v>
      </c>
      <c r="L16" s="617">
        <v>15.6</v>
      </c>
      <c r="M16" s="617" t="s">
        <v>454</v>
      </c>
    </row>
    <row r="17" spans="2:13" ht="45">
      <c r="B17" s="1111"/>
      <c r="C17" s="615" t="s">
        <v>324</v>
      </c>
      <c r="D17" s="615" t="s">
        <v>325</v>
      </c>
      <c r="E17" s="616" t="s">
        <v>444</v>
      </c>
      <c r="F17" s="615">
        <v>5.31</v>
      </c>
      <c r="G17" s="616" t="s">
        <v>309</v>
      </c>
      <c r="H17" s="618">
        <f>F17*$L$10</f>
        <v>113.3154</v>
      </c>
      <c r="I17" s="618">
        <f>H17*$L$7</f>
        <v>31.388365800000003</v>
      </c>
      <c r="K17" s="617" t="s">
        <v>456</v>
      </c>
      <c r="L17" s="617">
        <v>0.27700000000000002</v>
      </c>
      <c r="M17" s="617" t="s">
        <v>457</v>
      </c>
    </row>
    <row r="18" spans="2:13" ht="30">
      <c r="B18" s="1110">
        <v>11</v>
      </c>
      <c r="C18" s="615" t="s">
        <v>326</v>
      </c>
      <c r="D18" s="615" t="s">
        <v>327</v>
      </c>
      <c r="E18" s="616" t="s">
        <v>7</v>
      </c>
      <c r="F18" s="615">
        <v>2.4789999999999999E-3</v>
      </c>
      <c r="G18" s="616" t="s">
        <v>308</v>
      </c>
      <c r="H18" s="618">
        <f>F18*1000000*$L$5</f>
        <v>89.541479999999993</v>
      </c>
      <c r="I18" s="618">
        <f>H18*$L$8</f>
        <v>322.34932799999996</v>
      </c>
    </row>
    <row r="19" spans="2:13" ht="30">
      <c r="B19" s="1111"/>
      <c r="C19" s="615" t="s">
        <v>326</v>
      </c>
      <c r="D19" s="615" t="s">
        <v>327</v>
      </c>
      <c r="E19" s="616" t="s">
        <v>443</v>
      </c>
      <c r="F19" s="615">
        <v>6.41</v>
      </c>
      <c r="G19" s="616" t="s">
        <v>309</v>
      </c>
      <c r="H19" s="618">
        <f>F19*$L$13</f>
        <v>258.964</v>
      </c>
      <c r="I19" s="618">
        <f t="shared" ref="I19" si="4">H19*$L$8</f>
        <v>932.2704</v>
      </c>
    </row>
    <row r="20" spans="2:13" ht="30">
      <c r="B20" s="616">
        <v>12</v>
      </c>
      <c r="C20" s="615" t="s">
        <v>328</v>
      </c>
      <c r="D20" s="615" t="s">
        <v>329</v>
      </c>
      <c r="E20" s="616" t="s">
        <v>7</v>
      </c>
      <c r="F20" s="615">
        <v>7.4990000000000001E-2</v>
      </c>
      <c r="G20" s="616" t="s">
        <v>308</v>
      </c>
      <c r="H20" s="618">
        <f>F20*1000000*$L$5</f>
        <v>2708.6388000000002</v>
      </c>
      <c r="I20" s="618">
        <f>H20*$L$8</f>
        <v>9751.0996800000012</v>
      </c>
    </row>
    <row r="21" spans="2:13" ht="30">
      <c r="B21" s="616">
        <v>13</v>
      </c>
      <c r="C21" s="615" t="s">
        <v>330</v>
      </c>
      <c r="D21" s="615" t="s">
        <v>331</v>
      </c>
      <c r="E21" s="616" t="s">
        <v>443</v>
      </c>
      <c r="F21" s="615">
        <v>1</v>
      </c>
      <c r="G21" s="616" t="s">
        <v>309</v>
      </c>
      <c r="H21" s="618">
        <f>F21*$L$13</f>
        <v>40.4</v>
      </c>
      <c r="I21" s="618">
        <f t="shared" ref="I21" si="5">H21*$L$8</f>
        <v>145.44</v>
      </c>
    </row>
    <row r="22" spans="2:13" ht="45">
      <c r="B22" s="616">
        <v>14</v>
      </c>
      <c r="C22" s="615" t="s">
        <v>332</v>
      </c>
      <c r="D22" s="615" t="s">
        <v>333</v>
      </c>
      <c r="E22" s="616" t="s">
        <v>444</v>
      </c>
      <c r="F22" s="615">
        <v>5.2</v>
      </c>
      <c r="G22" s="616" t="s">
        <v>309</v>
      </c>
      <c r="H22" s="618">
        <f>F22*$L$10</f>
        <v>110.968</v>
      </c>
      <c r="I22" s="618">
        <f>H22*$L$7</f>
        <v>30.738136000000004</v>
      </c>
    </row>
    <row r="23" spans="2:13" ht="30">
      <c r="B23" s="616">
        <v>15</v>
      </c>
      <c r="C23" s="615" t="s">
        <v>334</v>
      </c>
      <c r="D23" s="615" t="s">
        <v>335</v>
      </c>
      <c r="E23" s="616" t="s">
        <v>7</v>
      </c>
      <c r="F23" s="615">
        <v>2.601E-3</v>
      </c>
      <c r="G23" s="616" t="s">
        <v>308</v>
      </c>
      <c r="H23" s="618">
        <f>F23*1000000*$L$5</f>
        <v>93.948120000000003</v>
      </c>
      <c r="I23" s="618">
        <f>H23*$L$8</f>
        <v>338.213232</v>
      </c>
    </row>
    <row r="24" spans="2:13" ht="45">
      <c r="B24" s="616">
        <v>16</v>
      </c>
      <c r="C24" s="615" t="s">
        <v>336</v>
      </c>
      <c r="D24" s="615" t="s">
        <v>337</v>
      </c>
      <c r="E24" s="616" t="s">
        <v>443</v>
      </c>
      <c r="F24" s="615">
        <v>8.5259999999999998</v>
      </c>
      <c r="G24" s="616" t="s">
        <v>309</v>
      </c>
      <c r="H24" s="618">
        <f t="shared" ref="H24:H25" si="6">F24*$L$13</f>
        <v>344.4504</v>
      </c>
      <c r="I24" s="618">
        <f t="shared" ref="I24:I25" si="7">H24*$L$8</f>
        <v>1240.02144</v>
      </c>
    </row>
    <row r="25" spans="2:13" ht="30">
      <c r="B25" s="616">
        <v>17</v>
      </c>
      <c r="C25" s="615" t="s">
        <v>338</v>
      </c>
      <c r="D25" s="615" t="s">
        <v>339</v>
      </c>
      <c r="E25" s="616" t="s">
        <v>443</v>
      </c>
      <c r="F25" s="615">
        <v>13.7</v>
      </c>
      <c r="G25" s="616" t="s">
        <v>309</v>
      </c>
      <c r="H25" s="618">
        <f t="shared" si="6"/>
        <v>553.4799999999999</v>
      </c>
      <c r="I25" s="618">
        <f t="shared" si="7"/>
        <v>1992.5279999999998</v>
      </c>
    </row>
    <row r="26" spans="2:13" ht="30">
      <c r="B26" s="616">
        <v>18</v>
      </c>
      <c r="C26" s="615" t="s">
        <v>340</v>
      </c>
      <c r="D26" s="615" t="s">
        <v>341</v>
      </c>
      <c r="E26" s="616" t="s">
        <v>7</v>
      </c>
      <c r="F26" s="615">
        <v>4.8009999999999997E-3</v>
      </c>
      <c r="G26" s="616" t="s">
        <v>308</v>
      </c>
      <c r="H26" s="618">
        <f>F26*1000000*$L$5</f>
        <v>173.41211999999999</v>
      </c>
      <c r="I26" s="618">
        <f>H26*$L$8</f>
        <v>624.28363200000001</v>
      </c>
    </row>
    <row r="27" spans="2:13" ht="30">
      <c r="B27" s="616">
        <v>19</v>
      </c>
      <c r="C27" s="615" t="s">
        <v>342</v>
      </c>
      <c r="D27" s="615" t="s">
        <v>343</v>
      </c>
      <c r="E27" s="616" t="s">
        <v>444</v>
      </c>
      <c r="F27" s="615">
        <v>18.25</v>
      </c>
      <c r="G27" s="616" t="s">
        <v>309</v>
      </c>
      <c r="H27" s="618">
        <f t="shared" ref="H27:H28" si="8">F27*$L$10</f>
        <v>389.45499999999998</v>
      </c>
      <c r="I27" s="618">
        <f t="shared" ref="I27:I28" si="9">H27*$L$7</f>
        <v>107.879035</v>
      </c>
    </row>
    <row r="28" spans="2:13" ht="30">
      <c r="B28" s="616">
        <v>20</v>
      </c>
      <c r="C28" s="615" t="s">
        <v>344</v>
      </c>
      <c r="D28" s="615" t="s">
        <v>345</v>
      </c>
      <c r="E28" s="616" t="s">
        <v>444</v>
      </c>
      <c r="F28" s="615">
        <v>1.5</v>
      </c>
      <c r="G28" s="616" t="s">
        <v>309</v>
      </c>
      <c r="H28" s="618">
        <f t="shared" si="8"/>
        <v>32.01</v>
      </c>
      <c r="I28" s="618">
        <f t="shared" si="9"/>
        <v>8.8667700000000007</v>
      </c>
    </row>
    <row r="29" spans="2:13" ht="45">
      <c r="B29" s="616">
        <v>21</v>
      </c>
      <c r="C29" s="615" t="s">
        <v>346</v>
      </c>
      <c r="D29" s="615" t="s">
        <v>347</v>
      </c>
      <c r="E29" s="616" t="s">
        <v>443</v>
      </c>
      <c r="F29" s="615">
        <v>50.847000000000001</v>
      </c>
      <c r="G29" s="616" t="s">
        <v>309</v>
      </c>
      <c r="H29" s="618">
        <f>F29*$L$13</f>
        <v>2054.2188000000001</v>
      </c>
      <c r="I29" s="618">
        <f t="shared" ref="I29:I30" si="10">H29*$L$8</f>
        <v>7395.1876800000009</v>
      </c>
    </row>
    <row r="30" spans="2:13" ht="30">
      <c r="B30" s="616">
        <v>22</v>
      </c>
      <c r="C30" s="615" t="s">
        <v>348</v>
      </c>
      <c r="D30" s="615" t="s">
        <v>349</v>
      </c>
      <c r="E30" s="616" t="s">
        <v>7</v>
      </c>
      <c r="F30" s="615">
        <v>0.39</v>
      </c>
      <c r="G30" s="616" t="s">
        <v>309</v>
      </c>
      <c r="H30" s="618">
        <f>F30*1000/L6*L5</f>
        <v>19.674301675977656</v>
      </c>
      <c r="I30" s="618">
        <f t="shared" si="10"/>
        <v>70.827486033519563</v>
      </c>
    </row>
    <row r="31" spans="2:13" ht="30">
      <c r="B31" s="616">
        <v>24</v>
      </c>
      <c r="C31" s="615" t="s">
        <v>350</v>
      </c>
      <c r="D31" s="615" t="s">
        <v>351</v>
      </c>
      <c r="E31" s="616" t="s">
        <v>443</v>
      </c>
      <c r="F31" s="615">
        <v>0.53759999999999997</v>
      </c>
      <c r="G31" s="616" t="s">
        <v>309</v>
      </c>
      <c r="H31" s="618">
        <f>F31*$L$13</f>
        <v>21.719039999999996</v>
      </c>
      <c r="I31" s="618">
        <f t="shared" ref="I31" si="11">H31*$L$8</f>
        <v>78.188543999999993</v>
      </c>
    </row>
    <row r="32" spans="2:13" ht="30">
      <c r="B32" s="616">
        <v>25</v>
      </c>
      <c r="C32" s="615" t="s">
        <v>352</v>
      </c>
      <c r="D32" s="615" t="s">
        <v>353</v>
      </c>
      <c r="E32" s="616" t="s">
        <v>7</v>
      </c>
      <c r="F32" s="615">
        <v>3.746E-2</v>
      </c>
      <c r="G32" s="616" t="s">
        <v>308</v>
      </c>
      <c r="H32" s="618">
        <f t="shared" ref="H32:H35" si="12">F32*1000000*$L$5</f>
        <v>1353.0552</v>
      </c>
      <c r="I32" s="618">
        <f t="shared" ref="I32:I36" si="13">H32*$L$8</f>
        <v>4870.9987200000005</v>
      </c>
    </row>
    <row r="33" spans="2:9" ht="30">
      <c r="B33" s="1110">
        <v>26</v>
      </c>
      <c r="C33" s="615" t="s">
        <v>354</v>
      </c>
      <c r="D33" s="615" t="s">
        <v>355</v>
      </c>
      <c r="E33" s="616" t="s">
        <v>7</v>
      </c>
      <c r="F33" s="615">
        <v>14.36572</v>
      </c>
      <c r="G33" s="616" t="s">
        <v>309</v>
      </c>
      <c r="H33" s="618">
        <f>F33*1000/L6*L5</f>
        <v>724.70643351955312</v>
      </c>
      <c r="I33" s="618">
        <f t="shared" si="13"/>
        <v>2608.9431606703911</v>
      </c>
    </row>
    <row r="34" spans="2:9" ht="30">
      <c r="B34" s="1111"/>
      <c r="C34" s="615" t="s">
        <v>354</v>
      </c>
      <c r="D34" s="615" t="s">
        <v>355</v>
      </c>
      <c r="E34" s="616" t="s">
        <v>7</v>
      </c>
      <c r="F34" s="615">
        <v>3.5999999999999999E-3</v>
      </c>
      <c r="G34" s="616" t="s">
        <v>308</v>
      </c>
      <c r="H34" s="618">
        <f t="shared" si="12"/>
        <v>130.03200000000001</v>
      </c>
      <c r="I34" s="618">
        <f t="shared" si="13"/>
        <v>468.11520000000007</v>
      </c>
    </row>
    <row r="35" spans="2:9" ht="30">
      <c r="B35" s="616">
        <v>27</v>
      </c>
      <c r="C35" s="615" t="s">
        <v>356</v>
      </c>
      <c r="D35" s="615" t="s">
        <v>357</v>
      </c>
      <c r="E35" s="616" t="s">
        <v>7</v>
      </c>
      <c r="F35" s="615">
        <v>5.0390999999999998E-2</v>
      </c>
      <c r="G35" s="616" t="s">
        <v>308</v>
      </c>
      <c r="H35" s="618">
        <f t="shared" si="12"/>
        <v>1820.12292</v>
      </c>
      <c r="I35" s="618">
        <f t="shared" si="13"/>
        <v>6552.4425120000005</v>
      </c>
    </row>
    <row r="36" spans="2:9" ht="30">
      <c r="B36" s="616">
        <v>28</v>
      </c>
      <c r="C36" s="615" t="s">
        <v>358</v>
      </c>
      <c r="D36" s="615" t="s">
        <v>359</v>
      </c>
      <c r="E36" s="616" t="s">
        <v>445</v>
      </c>
      <c r="F36" s="615">
        <v>5.5</v>
      </c>
      <c r="G36" s="616" t="s">
        <v>309</v>
      </c>
      <c r="H36" s="618">
        <f>F36*L16</f>
        <v>85.8</v>
      </c>
      <c r="I36" s="618">
        <f t="shared" si="13"/>
        <v>308.88</v>
      </c>
    </row>
    <row r="37" spans="2:9" ht="30">
      <c r="B37" s="616">
        <v>29</v>
      </c>
      <c r="C37" s="615" t="s">
        <v>360</v>
      </c>
      <c r="D37" s="615" t="s">
        <v>361</v>
      </c>
      <c r="E37" s="616" t="s">
        <v>7</v>
      </c>
      <c r="F37" s="615">
        <v>3.5690000000000001E-3</v>
      </c>
      <c r="G37" s="616" t="s">
        <v>308</v>
      </c>
      <c r="H37" s="618">
        <f>F37*1000000*$L$5</f>
        <v>128.91228000000001</v>
      </c>
      <c r="I37" s="618">
        <f>H37*$L$8</f>
        <v>464.08420800000005</v>
      </c>
    </row>
    <row r="38" spans="2:9" ht="30">
      <c r="B38" s="616">
        <v>30</v>
      </c>
      <c r="C38" s="615" t="s">
        <v>362</v>
      </c>
      <c r="D38" s="615" t="s">
        <v>349</v>
      </c>
      <c r="E38" s="616" t="s">
        <v>444</v>
      </c>
      <c r="F38" s="615">
        <v>19.22</v>
      </c>
      <c r="G38" s="616" t="s">
        <v>309</v>
      </c>
      <c r="H38" s="618">
        <f>F38*$L$10</f>
        <v>410.15479999999997</v>
      </c>
      <c r="I38" s="618">
        <f>H38*$L$7</f>
        <v>113.6128796</v>
      </c>
    </row>
    <row r="39" spans="2:9" ht="45">
      <c r="B39" s="616">
        <v>31</v>
      </c>
      <c r="C39" s="615" t="s">
        <v>363</v>
      </c>
      <c r="D39" s="615" t="s">
        <v>364</v>
      </c>
      <c r="E39" s="616" t="s">
        <v>7</v>
      </c>
      <c r="F39" s="615">
        <v>7.4180000000000001E-3</v>
      </c>
      <c r="G39" s="616" t="s">
        <v>308</v>
      </c>
      <c r="H39" s="618">
        <f t="shared" ref="H39:H41" si="14">F39*1000000*$L$5</f>
        <v>267.93815999999998</v>
      </c>
      <c r="I39" s="618">
        <f t="shared" ref="I39:I42" si="15">H39*$L$8</f>
        <v>964.57737599999996</v>
      </c>
    </row>
    <row r="40" spans="2:9" ht="30">
      <c r="B40" s="616">
        <v>32</v>
      </c>
      <c r="C40" s="615" t="s">
        <v>365</v>
      </c>
      <c r="D40" s="615" t="s">
        <v>366</v>
      </c>
      <c r="E40" s="616" t="s">
        <v>7</v>
      </c>
      <c r="F40" s="615">
        <v>0.56999999999999995</v>
      </c>
      <c r="G40" s="616" t="s">
        <v>309</v>
      </c>
      <c r="H40" s="618">
        <f>F40*1000/L6*L5</f>
        <v>28.754748603351956</v>
      </c>
      <c r="I40" s="618">
        <f t="shared" si="15"/>
        <v>103.51709497206704</v>
      </c>
    </row>
    <row r="41" spans="2:9" ht="45">
      <c r="B41" s="1110">
        <v>33</v>
      </c>
      <c r="C41" s="615" t="s">
        <v>367</v>
      </c>
      <c r="D41" s="615" t="s">
        <v>368</v>
      </c>
      <c r="E41" s="616" t="s">
        <v>7</v>
      </c>
      <c r="F41" s="615">
        <v>2.4680000000000001E-3</v>
      </c>
      <c r="G41" s="616" t="s">
        <v>308</v>
      </c>
      <c r="H41" s="618">
        <f t="shared" si="14"/>
        <v>89.144159999999999</v>
      </c>
      <c r="I41" s="618">
        <f t="shared" si="15"/>
        <v>320.91897599999999</v>
      </c>
    </row>
    <row r="42" spans="2:9" ht="45">
      <c r="B42" s="1111"/>
      <c r="C42" s="615" t="s">
        <v>367</v>
      </c>
      <c r="D42" s="615" t="s">
        <v>368</v>
      </c>
      <c r="E42" s="616" t="s">
        <v>445</v>
      </c>
      <c r="F42" s="615">
        <v>21</v>
      </c>
      <c r="G42" s="616" t="s">
        <v>309</v>
      </c>
      <c r="H42" s="618">
        <f>F42*L16</f>
        <v>327.59999999999997</v>
      </c>
      <c r="I42" s="618">
        <f t="shared" si="15"/>
        <v>1179.3599999999999</v>
      </c>
    </row>
    <row r="43" spans="2:9" ht="60">
      <c r="B43" s="1110">
        <v>34</v>
      </c>
      <c r="C43" s="615" t="s">
        <v>369</v>
      </c>
      <c r="D43" s="615" t="s">
        <v>370</v>
      </c>
      <c r="E43" s="616" t="s">
        <v>7</v>
      </c>
      <c r="F43" s="615">
        <v>4.9000000000000004</v>
      </c>
      <c r="G43" s="616" t="s">
        <v>309</v>
      </c>
      <c r="H43" s="618">
        <f>F43*1000/L6*L5</f>
        <v>247.18994413407822</v>
      </c>
      <c r="I43" s="618">
        <f t="shared" ref="I43:I46" si="16">H43*$L$8</f>
        <v>889.88379888268162</v>
      </c>
    </row>
    <row r="44" spans="2:9" ht="60">
      <c r="B44" s="1111"/>
      <c r="C44" s="615" t="s">
        <v>369</v>
      </c>
      <c r="D44" s="615" t="s">
        <v>370</v>
      </c>
      <c r="E44" s="616" t="s">
        <v>7</v>
      </c>
      <c r="F44" s="615">
        <v>0.02</v>
      </c>
      <c r="G44" s="616" t="s">
        <v>308</v>
      </c>
      <c r="H44" s="618">
        <f t="shared" ref="H44" si="17">F44*1000000*$L$5</f>
        <v>722.4</v>
      </c>
      <c r="I44" s="618">
        <f t="shared" si="16"/>
        <v>2600.64</v>
      </c>
    </row>
    <row r="45" spans="2:9" ht="45">
      <c r="B45" s="616">
        <v>35</v>
      </c>
      <c r="C45" s="615" t="s">
        <v>371</v>
      </c>
      <c r="D45" s="615" t="s">
        <v>372</v>
      </c>
      <c r="E45" s="616" t="s">
        <v>443</v>
      </c>
      <c r="F45" s="615">
        <v>1.512</v>
      </c>
      <c r="G45" s="616" t="s">
        <v>309</v>
      </c>
      <c r="H45" s="618">
        <f>F45*$L$13</f>
        <v>61.084800000000001</v>
      </c>
      <c r="I45" s="618">
        <f t="shared" si="16"/>
        <v>219.90528</v>
      </c>
    </row>
    <row r="46" spans="2:9" ht="30">
      <c r="B46" s="616">
        <v>36</v>
      </c>
      <c r="C46" s="615" t="s">
        <v>373</v>
      </c>
      <c r="D46" s="615" t="s">
        <v>374</v>
      </c>
      <c r="E46" s="616" t="s">
        <v>7</v>
      </c>
      <c r="F46" s="615">
        <v>1.0999999999999999E-2</v>
      </c>
      <c r="G46" s="616" t="s">
        <v>309</v>
      </c>
      <c r="H46" s="618">
        <f>F46*1000/L6*L5</f>
        <v>0.55491620111731843</v>
      </c>
      <c r="I46" s="618">
        <f t="shared" si="16"/>
        <v>1.9976983240223465</v>
      </c>
    </row>
    <row r="47" spans="2:9" ht="30">
      <c r="B47" s="616">
        <v>37</v>
      </c>
      <c r="C47" s="615" t="s">
        <v>375</v>
      </c>
      <c r="D47" s="615" t="s">
        <v>376</v>
      </c>
      <c r="E47" s="616" t="s">
        <v>444</v>
      </c>
      <c r="F47" s="615">
        <v>20.239999999999998</v>
      </c>
      <c r="G47" s="616" t="s">
        <v>309</v>
      </c>
      <c r="H47" s="618">
        <f>F47*$L$10</f>
        <v>431.92159999999996</v>
      </c>
      <c r="I47" s="618">
        <f>H47*$L$7</f>
        <v>119.64228319999999</v>
      </c>
    </row>
    <row r="48" spans="2:9" ht="30">
      <c r="B48" s="616">
        <v>38</v>
      </c>
      <c r="C48" s="615" t="s">
        <v>377</v>
      </c>
      <c r="D48" s="615" t="s">
        <v>378</v>
      </c>
      <c r="E48" s="616" t="s">
        <v>7</v>
      </c>
      <c r="F48" s="615">
        <v>1.1438E-2</v>
      </c>
      <c r="G48" s="616" t="s">
        <v>308</v>
      </c>
      <c r="H48" s="618">
        <f t="shared" ref="H48:H49" si="18">F48*1000000*$L$5</f>
        <v>413.14055999999999</v>
      </c>
      <c r="I48" s="618">
        <f t="shared" ref="I48:I49" si="19">H48*$L$8</f>
        <v>1487.306016</v>
      </c>
    </row>
    <row r="49" spans="2:9" ht="30">
      <c r="B49" s="616">
        <v>39</v>
      </c>
      <c r="C49" s="615" t="s">
        <v>379</v>
      </c>
      <c r="D49" s="615" t="s">
        <v>380</v>
      </c>
      <c r="E49" s="616" t="s">
        <v>7</v>
      </c>
      <c r="F49" s="615">
        <v>1.0883E-2</v>
      </c>
      <c r="G49" s="616" t="s">
        <v>308</v>
      </c>
      <c r="H49" s="618">
        <f t="shared" si="18"/>
        <v>393.09395999999998</v>
      </c>
      <c r="I49" s="618">
        <f t="shared" si="19"/>
        <v>1415.138256</v>
      </c>
    </row>
    <row r="50" spans="2:9" ht="30">
      <c r="B50" s="616">
        <v>40</v>
      </c>
      <c r="C50" s="615" t="s">
        <v>381</v>
      </c>
      <c r="D50" s="615" t="s">
        <v>382</v>
      </c>
      <c r="E50" s="616" t="s">
        <v>445</v>
      </c>
      <c r="F50" s="615">
        <v>8</v>
      </c>
      <c r="G50" s="616" t="s">
        <v>309</v>
      </c>
      <c r="H50" s="618"/>
      <c r="I50" s="618"/>
    </row>
    <row r="51" spans="2:9" ht="45">
      <c r="B51" s="616">
        <v>41</v>
      </c>
      <c r="C51" s="615" t="s">
        <v>383</v>
      </c>
      <c r="D51" s="615" t="s">
        <v>384</v>
      </c>
      <c r="E51" s="616" t="s">
        <v>7</v>
      </c>
      <c r="F51" s="615">
        <v>6.3503000000000004E-2</v>
      </c>
      <c r="G51" s="616" t="s">
        <v>308</v>
      </c>
      <c r="H51" s="618">
        <f>F51*1000000*$L$5</f>
        <v>2293.7283600000001</v>
      </c>
      <c r="I51" s="618">
        <f>H51*$L$8</f>
        <v>8257.4220960000002</v>
      </c>
    </row>
    <row r="52" spans="2:9" ht="30">
      <c r="B52" s="616">
        <v>42</v>
      </c>
      <c r="C52" s="615" t="s">
        <v>385</v>
      </c>
      <c r="D52" s="615" t="s">
        <v>386</v>
      </c>
      <c r="E52" s="616" t="s">
        <v>444</v>
      </c>
      <c r="F52" s="615">
        <v>3</v>
      </c>
      <c r="G52" s="616" t="s">
        <v>309</v>
      </c>
      <c r="H52" s="618">
        <f>F52*$L$10</f>
        <v>64.02</v>
      </c>
      <c r="I52" s="618">
        <f>H52*$L$7</f>
        <v>17.733540000000001</v>
      </c>
    </row>
    <row r="53" spans="2:9" ht="30">
      <c r="B53" s="616">
        <v>43</v>
      </c>
      <c r="C53" s="615" t="s">
        <v>387</v>
      </c>
      <c r="D53" s="615" t="s">
        <v>388</v>
      </c>
      <c r="E53" s="616" t="s">
        <v>443</v>
      </c>
      <c r="F53" s="615">
        <v>5.6360000000000001</v>
      </c>
      <c r="G53" s="616" t="s">
        <v>309</v>
      </c>
      <c r="H53" s="618">
        <f>F53*$L$13</f>
        <v>227.6944</v>
      </c>
      <c r="I53" s="618">
        <f t="shared" ref="I53" si="20">H53*$L$8</f>
        <v>819.69983999999999</v>
      </c>
    </row>
    <row r="54" spans="2:9" ht="30">
      <c r="B54" s="616">
        <v>44</v>
      </c>
      <c r="C54" s="615" t="s">
        <v>389</v>
      </c>
      <c r="D54" s="615" t="s">
        <v>390</v>
      </c>
      <c r="E54" s="616" t="s">
        <v>7</v>
      </c>
      <c r="F54" s="615">
        <v>0.1023</v>
      </c>
      <c r="G54" s="616" t="s">
        <v>308</v>
      </c>
      <c r="H54" s="618">
        <f>F54*1000000*$L$5</f>
        <v>3695.076</v>
      </c>
      <c r="I54" s="618">
        <f>H54*$L$8</f>
        <v>13302.2736</v>
      </c>
    </row>
    <row r="55" spans="2:9" ht="30">
      <c r="B55" s="616">
        <v>45</v>
      </c>
      <c r="C55" s="615" t="s">
        <v>391</v>
      </c>
      <c r="D55" s="615" t="s">
        <v>392</v>
      </c>
      <c r="E55" s="616" t="s">
        <v>444</v>
      </c>
      <c r="F55" s="615">
        <v>4.24</v>
      </c>
      <c r="G55" s="616" t="s">
        <v>309</v>
      </c>
      <c r="H55" s="618">
        <f>F55*$L$10</f>
        <v>90.4816</v>
      </c>
      <c r="I55" s="618">
        <f>H55*$L$7</f>
        <v>25.063403200000003</v>
      </c>
    </row>
    <row r="56" spans="2:9" ht="45">
      <c r="B56" s="616">
        <v>46</v>
      </c>
      <c r="C56" s="615" t="s">
        <v>393</v>
      </c>
      <c r="D56" s="615" t="s">
        <v>394</v>
      </c>
      <c r="E56" s="616" t="s">
        <v>443</v>
      </c>
      <c r="F56" s="615">
        <v>2.5</v>
      </c>
      <c r="G56" s="616" t="s">
        <v>309</v>
      </c>
      <c r="H56" s="618">
        <f>F56*$L$13</f>
        <v>101</v>
      </c>
      <c r="I56" s="618">
        <f t="shared" ref="I56" si="21">H56*$L$8</f>
        <v>363.6</v>
      </c>
    </row>
    <row r="57" spans="2:9" ht="45">
      <c r="B57" s="616">
        <v>47</v>
      </c>
      <c r="C57" s="615" t="s">
        <v>395</v>
      </c>
      <c r="D57" s="615" t="s">
        <v>396</v>
      </c>
      <c r="E57" s="616" t="s">
        <v>7</v>
      </c>
      <c r="F57" s="615">
        <v>2.1689999999999999E-3</v>
      </c>
      <c r="G57" s="616" t="s">
        <v>308</v>
      </c>
      <c r="H57" s="618">
        <f>F57*1000000*$L$5</f>
        <v>78.344279999999998</v>
      </c>
      <c r="I57" s="618">
        <f>H57*$L$8</f>
        <v>282.03940799999998</v>
      </c>
    </row>
    <row r="58" spans="2:9" ht="30">
      <c r="B58" s="616">
        <v>48</v>
      </c>
      <c r="C58" s="615" t="s">
        <v>397</v>
      </c>
      <c r="D58" s="615" t="s">
        <v>398</v>
      </c>
      <c r="E58" s="616" t="s">
        <v>444</v>
      </c>
      <c r="F58" s="615">
        <v>1.8</v>
      </c>
      <c r="G58" s="616" t="s">
        <v>309</v>
      </c>
      <c r="H58" s="618">
        <f>F58*$L$10</f>
        <v>38.411999999999999</v>
      </c>
      <c r="I58" s="618">
        <f>H58*$L$7</f>
        <v>10.640124</v>
      </c>
    </row>
    <row r="59" spans="2:9" ht="45">
      <c r="B59" s="616">
        <v>49</v>
      </c>
      <c r="C59" s="615" t="s">
        <v>399</v>
      </c>
      <c r="D59" s="615" t="s">
        <v>400</v>
      </c>
      <c r="E59" s="616" t="s">
        <v>7</v>
      </c>
      <c r="F59" s="615">
        <v>3.5297000000000002E-2</v>
      </c>
      <c r="G59" s="616" t="s">
        <v>308</v>
      </c>
      <c r="H59" s="618">
        <f>F59*1000000*$L$5</f>
        <v>1274.9276399999999</v>
      </c>
      <c r="I59" s="618">
        <f>H59*$L$8</f>
        <v>4589.7395040000001</v>
      </c>
    </row>
    <row r="60" spans="2:9" ht="30">
      <c r="B60" s="616">
        <v>50</v>
      </c>
      <c r="C60" s="615" t="s">
        <v>401</v>
      </c>
      <c r="D60" s="615" t="s">
        <v>402</v>
      </c>
      <c r="E60" s="616" t="s">
        <v>444</v>
      </c>
      <c r="F60" s="615">
        <v>3.51</v>
      </c>
      <c r="G60" s="616" t="s">
        <v>309</v>
      </c>
      <c r="H60" s="618">
        <f t="shared" ref="H60:H61" si="22">F60*$L$10</f>
        <v>74.903399999999991</v>
      </c>
      <c r="I60" s="618">
        <f t="shared" ref="I60:I61" si="23">H60*$L$7</f>
        <v>20.748241799999999</v>
      </c>
    </row>
    <row r="61" spans="2:9" ht="30">
      <c r="B61" s="616">
        <v>51</v>
      </c>
      <c r="C61" s="615" t="s">
        <v>401</v>
      </c>
      <c r="D61" s="615" t="s">
        <v>402</v>
      </c>
      <c r="E61" s="616" t="s">
        <v>444</v>
      </c>
      <c r="F61" s="615">
        <v>3.5</v>
      </c>
      <c r="G61" s="616" t="s">
        <v>309</v>
      </c>
      <c r="H61" s="618">
        <f t="shared" si="22"/>
        <v>74.69</v>
      </c>
      <c r="I61" s="618">
        <f t="shared" si="23"/>
        <v>20.689130000000002</v>
      </c>
    </row>
    <row r="62" spans="2:9" ht="45">
      <c r="B62" s="616">
        <v>52</v>
      </c>
      <c r="C62" s="615" t="s">
        <v>403</v>
      </c>
      <c r="D62" s="615" t="s">
        <v>404</v>
      </c>
      <c r="E62" s="616" t="s">
        <v>7</v>
      </c>
      <c r="F62" s="615">
        <v>3.372E-3</v>
      </c>
      <c r="G62" s="616" t="s">
        <v>308</v>
      </c>
      <c r="H62" s="618">
        <f t="shared" ref="H62:H64" si="24">F62*1000000*$L$5</f>
        <v>121.79664</v>
      </c>
      <c r="I62" s="618">
        <f t="shared" ref="I62:I64" si="25">H62*$L$8</f>
        <v>438.46790399999998</v>
      </c>
    </row>
    <row r="63" spans="2:9" ht="30">
      <c r="B63" s="616">
        <v>53</v>
      </c>
      <c r="C63" s="615" t="s">
        <v>405</v>
      </c>
      <c r="D63" s="615" t="s">
        <v>406</v>
      </c>
      <c r="E63" s="616" t="s">
        <v>7</v>
      </c>
      <c r="F63" s="615">
        <v>186.36</v>
      </c>
      <c r="G63" s="616" t="s">
        <v>309</v>
      </c>
      <c r="H63" s="618">
        <f>F63*1000/L6*L5</f>
        <v>9401.2893854748618</v>
      </c>
      <c r="I63" s="618">
        <f t="shared" si="25"/>
        <v>33844.641787709501</v>
      </c>
    </row>
    <row r="64" spans="2:9" ht="30">
      <c r="B64" s="616">
        <v>54</v>
      </c>
      <c r="C64" s="615" t="s">
        <v>405</v>
      </c>
      <c r="D64" s="615" t="s">
        <v>406</v>
      </c>
      <c r="E64" s="616" t="s">
        <v>7</v>
      </c>
      <c r="F64" s="615">
        <v>3.0599999999999998E-3</v>
      </c>
      <c r="G64" s="616" t="s">
        <v>308</v>
      </c>
      <c r="H64" s="618">
        <f t="shared" si="24"/>
        <v>110.52719999999999</v>
      </c>
      <c r="I64" s="618">
        <f t="shared" si="25"/>
        <v>397.89792</v>
      </c>
    </row>
    <row r="65" spans="2:9" ht="30">
      <c r="B65" s="616">
        <v>55</v>
      </c>
      <c r="C65" s="615" t="s">
        <v>405</v>
      </c>
      <c r="D65" s="615" t="s">
        <v>406</v>
      </c>
      <c r="E65" s="616" t="s">
        <v>444</v>
      </c>
      <c r="F65" s="615">
        <v>7.2850000000000001</v>
      </c>
      <c r="G65" s="616" t="s">
        <v>309</v>
      </c>
      <c r="H65" s="618">
        <f t="shared" ref="H65:H66" si="26">F65*$L$10</f>
        <v>155.46190000000001</v>
      </c>
      <c r="I65" s="618">
        <f t="shared" ref="I65:I66" si="27">H65*$L$7</f>
        <v>43.062946300000007</v>
      </c>
    </row>
    <row r="66" spans="2:9" ht="45">
      <c r="B66" s="616">
        <v>56</v>
      </c>
      <c r="C66" s="615" t="s">
        <v>407</v>
      </c>
      <c r="D66" s="615" t="s">
        <v>408</v>
      </c>
      <c r="E66" s="616" t="s">
        <v>444</v>
      </c>
      <c r="F66" s="615">
        <v>3</v>
      </c>
      <c r="G66" s="616" t="s">
        <v>309</v>
      </c>
      <c r="H66" s="618">
        <f t="shared" si="26"/>
        <v>64.02</v>
      </c>
      <c r="I66" s="618">
        <f t="shared" si="27"/>
        <v>17.733540000000001</v>
      </c>
    </row>
    <row r="67" spans="2:9" ht="30">
      <c r="B67" s="616">
        <v>57</v>
      </c>
      <c r="C67" s="615" t="s">
        <v>409</v>
      </c>
      <c r="D67" s="615" t="s">
        <v>410</v>
      </c>
      <c r="E67" s="616" t="s">
        <v>7</v>
      </c>
      <c r="F67" s="615">
        <v>7.9830000000000005E-3</v>
      </c>
      <c r="G67" s="616" t="s">
        <v>308</v>
      </c>
      <c r="H67" s="618">
        <f t="shared" ref="H67:H68" si="28">F67*1000000*$L$5</f>
        <v>288.34596000000005</v>
      </c>
      <c r="I67" s="618">
        <f t="shared" ref="I67:I69" si="29">H67*$L$8</f>
        <v>1038.0454560000003</v>
      </c>
    </row>
    <row r="68" spans="2:9" ht="30">
      <c r="B68" s="616">
        <v>58</v>
      </c>
      <c r="C68" s="615" t="s">
        <v>411</v>
      </c>
      <c r="D68" s="615" t="s">
        <v>412</v>
      </c>
      <c r="E68" s="616" t="s">
        <v>7</v>
      </c>
      <c r="F68" s="615">
        <v>1.237E-3</v>
      </c>
      <c r="G68" s="616" t="s">
        <v>308</v>
      </c>
      <c r="H68" s="618">
        <f t="shared" si="28"/>
        <v>44.680439999999997</v>
      </c>
      <c r="I68" s="618">
        <f t="shared" si="29"/>
        <v>160.84958399999999</v>
      </c>
    </row>
    <row r="69" spans="2:9" ht="45">
      <c r="B69" s="616">
        <v>59</v>
      </c>
      <c r="C69" s="615" t="s">
        <v>413</v>
      </c>
      <c r="D69" s="615" t="s">
        <v>414</v>
      </c>
      <c r="E69" s="616" t="s">
        <v>443</v>
      </c>
      <c r="F69" s="615">
        <v>15</v>
      </c>
      <c r="G69" s="616" t="s">
        <v>309</v>
      </c>
      <c r="H69" s="618">
        <f>F69*$L$13</f>
        <v>606</v>
      </c>
      <c r="I69" s="618">
        <f t="shared" si="29"/>
        <v>2181.6</v>
      </c>
    </row>
    <row r="70" spans="2:9" ht="30">
      <c r="B70" s="1110">
        <v>60</v>
      </c>
      <c r="C70" s="615" t="s">
        <v>415</v>
      </c>
      <c r="D70" s="615" t="s">
        <v>416</v>
      </c>
      <c r="E70" s="616" t="s">
        <v>7</v>
      </c>
      <c r="F70" s="615">
        <v>1.1399999999999999</v>
      </c>
      <c r="G70" s="616" t="s">
        <v>309</v>
      </c>
      <c r="H70" s="618">
        <f t="shared" ref="H70:H72" si="30">F70*1000000*$L$5</f>
        <v>41176.799999999996</v>
      </c>
      <c r="I70" s="618">
        <f t="shared" ref="I70:I72" si="31">H70*$L$8</f>
        <v>148236.47999999998</v>
      </c>
    </row>
    <row r="71" spans="2:9" ht="30">
      <c r="B71" s="1111"/>
      <c r="C71" s="615" t="s">
        <v>415</v>
      </c>
      <c r="D71" s="615" t="s">
        <v>416</v>
      </c>
      <c r="E71" s="616" t="s">
        <v>7</v>
      </c>
      <c r="F71" s="615">
        <v>1.586E-3</v>
      </c>
      <c r="G71" s="616" t="s">
        <v>308</v>
      </c>
      <c r="H71" s="618">
        <f t="shared" si="30"/>
        <v>57.286319999999996</v>
      </c>
      <c r="I71" s="618">
        <f t="shared" si="31"/>
        <v>206.230752</v>
      </c>
    </row>
    <row r="72" spans="2:9" ht="45">
      <c r="B72" s="1110">
        <v>61</v>
      </c>
      <c r="C72" s="615" t="s">
        <v>417</v>
      </c>
      <c r="D72" s="615" t="s">
        <v>418</v>
      </c>
      <c r="E72" s="616" t="s">
        <v>7</v>
      </c>
      <c r="F72" s="615">
        <v>1.8001E-2</v>
      </c>
      <c r="G72" s="616" t="s">
        <v>308</v>
      </c>
      <c r="H72" s="618">
        <f t="shared" si="30"/>
        <v>650.19611999999995</v>
      </c>
      <c r="I72" s="618">
        <f t="shared" si="31"/>
        <v>2340.7060320000001</v>
      </c>
    </row>
    <row r="73" spans="2:9" ht="45">
      <c r="B73" s="1111"/>
      <c r="C73" s="615" t="s">
        <v>417</v>
      </c>
      <c r="D73" s="615" t="s">
        <v>418</v>
      </c>
      <c r="E73" s="616" t="s">
        <v>444</v>
      </c>
      <c r="F73" s="615">
        <v>5</v>
      </c>
      <c r="G73" s="616" t="s">
        <v>309</v>
      </c>
      <c r="H73" s="618">
        <f>F73*$L$10</f>
        <v>106.7</v>
      </c>
      <c r="I73" s="618">
        <f>H73*$L$7</f>
        <v>29.555900000000005</v>
      </c>
    </row>
    <row r="74" spans="2:9" ht="30">
      <c r="B74" s="616">
        <v>62</v>
      </c>
      <c r="C74" s="615" t="s">
        <v>419</v>
      </c>
      <c r="D74" s="615" t="s">
        <v>420</v>
      </c>
      <c r="E74" s="616" t="s">
        <v>443</v>
      </c>
      <c r="F74" s="615">
        <v>2.0244</v>
      </c>
      <c r="G74" s="616" t="s">
        <v>309</v>
      </c>
      <c r="H74" s="618">
        <f>F74*$L$13</f>
        <v>81.785759999999996</v>
      </c>
      <c r="I74" s="618">
        <f t="shared" ref="I74" si="32">H74*$L$8</f>
        <v>294.42873600000001</v>
      </c>
    </row>
    <row r="75" spans="2:9" ht="30">
      <c r="B75" s="616">
        <v>63</v>
      </c>
      <c r="C75" s="615" t="s">
        <v>421</v>
      </c>
      <c r="D75" s="615" t="s">
        <v>422</v>
      </c>
      <c r="E75" s="616" t="s">
        <v>7</v>
      </c>
      <c r="F75" s="615">
        <v>2.1246000000000001E-2</v>
      </c>
      <c r="G75" s="616" t="s">
        <v>308</v>
      </c>
      <c r="H75" s="618">
        <f>F75*1000000*$L$5</f>
        <v>767.40552000000002</v>
      </c>
      <c r="I75" s="618">
        <f>H75*$L$8</f>
        <v>2762.6598720000002</v>
      </c>
    </row>
    <row r="76" spans="2:9" ht="30">
      <c r="B76" s="616">
        <v>64</v>
      </c>
      <c r="C76" s="615" t="s">
        <v>423</v>
      </c>
      <c r="D76" s="615" t="s">
        <v>424</v>
      </c>
      <c r="E76" s="616" t="s">
        <v>443</v>
      </c>
      <c r="F76" s="615">
        <v>10.9</v>
      </c>
      <c r="G76" s="616" t="s">
        <v>309</v>
      </c>
      <c r="H76" s="618">
        <f>F76*$L$13</f>
        <v>440.36</v>
      </c>
      <c r="I76" s="618">
        <f t="shared" ref="I76" si="33">H76*$L$8</f>
        <v>1585.296</v>
      </c>
    </row>
    <row r="77" spans="2:9" ht="30">
      <c r="B77" s="616">
        <v>65</v>
      </c>
      <c r="C77" s="615" t="s">
        <v>425</v>
      </c>
      <c r="D77" s="615" t="s">
        <v>426</v>
      </c>
      <c r="E77" s="616" t="s">
        <v>7</v>
      </c>
      <c r="F77" s="615">
        <v>5.1699999999999999E-4</v>
      </c>
      <c r="G77" s="616" t="s">
        <v>308</v>
      </c>
      <c r="H77" s="618">
        <f>F77*1000000*$L$5</f>
        <v>18.674039999999998</v>
      </c>
      <c r="I77" s="618">
        <f>H77*$L$8</f>
        <v>67.22654399999999</v>
      </c>
    </row>
    <row r="78" spans="2:9" ht="30">
      <c r="B78" s="616">
        <v>66</v>
      </c>
      <c r="C78" s="615" t="s">
        <v>427</v>
      </c>
      <c r="D78" s="615" t="s">
        <v>428</v>
      </c>
      <c r="E78" s="616" t="s">
        <v>443</v>
      </c>
      <c r="F78" s="615">
        <v>5.0330000000000004</v>
      </c>
      <c r="G78" s="616" t="s">
        <v>309</v>
      </c>
      <c r="H78" s="618">
        <f>F78*$L$13</f>
        <v>203.33320000000001</v>
      </c>
      <c r="I78" s="618">
        <f t="shared" ref="I78" si="34">H78*$L$8</f>
        <v>731.99952000000008</v>
      </c>
    </row>
    <row r="79" spans="2:9" ht="45">
      <c r="B79" s="616">
        <v>67</v>
      </c>
      <c r="C79" s="615" t="s">
        <v>429</v>
      </c>
      <c r="D79" s="615" t="s">
        <v>430</v>
      </c>
      <c r="E79" s="616" t="s">
        <v>7</v>
      </c>
      <c r="F79" s="615">
        <v>5.6964000000000001E-2</v>
      </c>
      <c r="G79" s="616" t="s">
        <v>308</v>
      </c>
      <c r="H79" s="618">
        <f t="shared" ref="H79:H82" si="35">F79*1000000*$L$5</f>
        <v>2057.5396799999999</v>
      </c>
      <c r="I79" s="618">
        <f t="shared" ref="I79:I82" si="36">H79*$L$8</f>
        <v>7407.1428479999995</v>
      </c>
    </row>
    <row r="80" spans="2:9" ht="45">
      <c r="B80" s="616">
        <v>68</v>
      </c>
      <c r="C80" s="615" t="s">
        <v>431</v>
      </c>
      <c r="D80" s="615" t="s">
        <v>432</v>
      </c>
      <c r="E80" s="616" t="s">
        <v>7</v>
      </c>
      <c r="F80" s="615">
        <v>1.3934E-2</v>
      </c>
      <c r="G80" s="616" t="s">
        <v>308</v>
      </c>
      <c r="H80" s="618">
        <f t="shared" si="35"/>
        <v>503.29608000000002</v>
      </c>
      <c r="I80" s="618">
        <f t="shared" si="36"/>
        <v>1811.865888</v>
      </c>
    </row>
    <row r="81" spans="2:9" ht="30">
      <c r="B81" s="616">
        <v>69</v>
      </c>
      <c r="C81" s="615" t="s">
        <v>433</v>
      </c>
      <c r="D81" s="615" t="s">
        <v>434</v>
      </c>
      <c r="E81" s="616" t="s">
        <v>7</v>
      </c>
      <c r="F81" s="615">
        <v>7.3890999999999998E-2</v>
      </c>
      <c r="G81" s="616" t="s">
        <v>308</v>
      </c>
      <c r="H81" s="618">
        <f t="shared" si="35"/>
        <v>2668.94292</v>
      </c>
      <c r="I81" s="618">
        <f t="shared" si="36"/>
        <v>9608.194512</v>
      </c>
    </row>
    <row r="82" spans="2:9" ht="30">
      <c r="B82" s="616">
        <v>70</v>
      </c>
      <c r="C82" s="615" t="s">
        <v>435</v>
      </c>
      <c r="D82" s="615" t="s">
        <v>436</v>
      </c>
      <c r="E82" s="616" t="s">
        <v>7</v>
      </c>
      <c r="F82" s="615">
        <v>2.3839999999999998E-3</v>
      </c>
      <c r="G82" s="616" t="s">
        <v>308</v>
      </c>
      <c r="H82" s="618">
        <f t="shared" si="35"/>
        <v>86.110079999999996</v>
      </c>
      <c r="I82" s="618">
        <f t="shared" si="36"/>
        <v>309.99628799999999</v>
      </c>
    </row>
    <row r="83" spans="2:9" ht="30">
      <c r="B83" s="1110">
        <v>71</v>
      </c>
      <c r="C83" s="615" t="s">
        <v>437</v>
      </c>
      <c r="D83" s="615" t="s">
        <v>438</v>
      </c>
      <c r="E83" s="616" t="s">
        <v>444</v>
      </c>
      <c r="F83" s="615">
        <v>1.54</v>
      </c>
      <c r="G83" s="616" t="s">
        <v>309</v>
      </c>
      <c r="H83" s="618">
        <f>F83*$L$10</f>
        <v>32.863599999999998</v>
      </c>
      <c r="I83" s="618">
        <f>H83*$L$7</f>
        <v>9.1032171999999996</v>
      </c>
    </row>
    <row r="84" spans="2:9" ht="30">
      <c r="B84" s="1111"/>
      <c r="C84" s="615" t="s">
        <v>437</v>
      </c>
      <c r="D84" s="615" t="s">
        <v>438</v>
      </c>
      <c r="E84" s="616" t="s">
        <v>443</v>
      </c>
      <c r="F84" s="615">
        <v>4.9029999999999996</v>
      </c>
      <c r="G84" s="616" t="s">
        <v>309</v>
      </c>
      <c r="H84" s="618">
        <f>F84*$L$13</f>
        <v>198.08119999999997</v>
      </c>
      <c r="I84" s="618">
        <f t="shared" ref="I84" si="37">H84*$L$8</f>
        <v>713.09231999999986</v>
      </c>
    </row>
    <row r="85" spans="2:9" ht="30">
      <c r="B85" s="616">
        <v>72</v>
      </c>
      <c r="C85" s="615" t="s">
        <v>439</v>
      </c>
      <c r="D85" s="615" t="s">
        <v>440</v>
      </c>
      <c r="E85" s="616" t="s">
        <v>7</v>
      </c>
      <c r="F85" s="615">
        <v>1.6143940000000001</v>
      </c>
      <c r="G85" s="616" t="s">
        <v>308</v>
      </c>
      <c r="H85" s="618">
        <f>F85*1000000*$L$5</f>
        <v>58311.91128</v>
      </c>
      <c r="I85" s="618">
        <f>H85*$L$8</f>
        <v>209922.88060800001</v>
      </c>
    </row>
    <row r="86" spans="2:9" ht="30">
      <c r="B86" s="616">
        <v>73</v>
      </c>
      <c r="C86" s="615" t="s">
        <v>441</v>
      </c>
      <c r="D86" s="615" t="s">
        <v>442</v>
      </c>
      <c r="E86" s="616" t="s">
        <v>444</v>
      </c>
      <c r="F86" s="615">
        <v>64.099999999999994</v>
      </c>
      <c r="G86" s="616" t="s">
        <v>309</v>
      </c>
      <c r="H86" s="618">
        <f>F86*$L$10</f>
        <v>1367.8939999999998</v>
      </c>
      <c r="I86" s="618">
        <f>H86*$L$7</f>
        <v>378.90663799999999</v>
      </c>
    </row>
  </sheetData>
  <autoFilter ref="E1:E88" xr:uid="{F99D0706-034B-4192-A43A-67ADE1739F06}"/>
  <mergeCells count="15">
    <mergeCell ref="B2:M2"/>
    <mergeCell ref="B43:B44"/>
    <mergeCell ref="B70:B71"/>
    <mergeCell ref="B72:B73"/>
    <mergeCell ref="B83:B84"/>
    <mergeCell ref="K4:M4"/>
    <mergeCell ref="K9:M9"/>
    <mergeCell ref="K12:M12"/>
    <mergeCell ref="K15:M15"/>
    <mergeCell ref="B10:B11"/>
    <mergeCell ref="B13:B14"/>
    <mergeCell ref="B16:B17"/>
    <mergeCell ref="B18:B19"/>
    <mergeCell ref="B33:B34"/>
    <mergeCell ref="B41:B42"/>
  </mergeCells>
  <pageMargins left="0.7" right="0.7" top="0.75" bottom="0.75" header="0.3" footer="0.3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L27"/>
  <sheetViews>
    <sheetView showGridLines="0" view="pageBreakPreview" topLeftCell="A7" zoomScale="89" zoomScaleNormal="89" zoomScaleSheetLayoutView="89" workbookViewId="0">
      <selection activeCell="J4" sqref="J4"/>
    </sheetView>
  </sheetViews>
  <sheetFormatPr defaultRowHeight="15"/>
  <cols>
    <col min="1" max="1" width="2.5" style="13" customWidth="1"/>
    <col min="2" max="2" width="6" style="237" customWidth="1"/>
    <col min="3" max="3" width="35.75" style="13" customWidth="1"/>
    <col min="4" max="4" width="17.625" style="13" customWidth="1"/>
    <col min="5" max="5" width="15.625" style="13" customWidth="1"/>
    <col min="6" max="6" width="13.75" style="13" customWidth="1"/>
    <col min="7" max="7" width="20" style="13" customWidth="1"/>
    <col min="8" max="8" width="22.625" style="13" customWidth="1"/>
    <col min="9" max="9" width="14.25" style="13" customWidth="1"/>
    <col min="10" max="10" width="18" style="13" customWidth="1"/>
    <col min="11" max="11" width="17.25" style="13" customWidth="1"/>
    <col min="12" max="12" width="18.75" style="13" customWidth="1"/>
    <col min="13" max="13" width="11.625" style="13" customWidth="1"/>
    <col min="14" max="14" width="9" style="13" customWidth="1"/>
    <col min="15" max="17" width="11.625" style="13" customWidth="1"/>
    <col min="18" max="18" width="9" style="13" customWidth="1"/>
    <col min="19" max="16384" width="9" style="13"/>
  </cols>
  <sheetData>
    <row r="1" spans="2:12" s="20" customFormat="1" ht="15" customHeight="1" thickBot="1">
      <c r="B1" s="237"/>
      <c r="K1" s="292"/>
      <c r="L1" s="292"/>
    </row>
    <row r="2" spans="2:12" s="20" customFormat="1" ht="19.5" thickBot="1">
      <c r="B2" s="238" t="s">
        <v>297</v>
      </c>
      <c r="C2" s="22"/>
      <c r="D2" s="22"/>
      <c r="E2" s="22"/>
      <c r="F2" s="22"/>
      <c r="G2" s="22"/>
      <c r="H2" s="22"/>
      <c r="I2" s="22"/>
      <c r="J2" s="22"/>
      <c r="K2" s="292"/>
      <c r="L2" s="292"/>
    </row>
    <row r="3" spans="2:12" s="20" customFormat="1" ht="15" customHeight="1" thickBot="1">
      <c r="B3" s="237"/>
      <c r="K3" s="292"/>
      <c r="L3" s="292"/>
    </row>
    <row r="4" spans="2:12" ht="45">
      <c r="B4" s="446" t="s">
        <v>107</v>
      </c>
      <c r="C4" s="130" t="s">
        <v>4</v>
      </c>
      <c r="D4" s="130" t="s">
        <v>109</v>
      </c>
      <c r="E4" s="130" t="s">
        <v>251</v>
      </c>
      <c r="F4" s="130" t="s">
        <v>252</v>
      </c>
      <c r="G4" s="130" t="s">
        <v>253</v>
      </c>
      <c r="H4" s="131" t="s">
        <v>254</v>
      </c>
      <c r="I4" s="326"/>
      <c r="J4" s="447"/>
      <c r="K4" s="326"/>
      <c r="L4" s="326"/>
    </row>
    <row r="5" spans="2:12" ht="48.75" customHeight="1">
      <c r="B5" s="240">
        <v>1</v>
      </c>
      <c r="C5" s="236" t="s">
        <v>257</v>
      </c>
      <c r="D5" s="179">
        <v>920.65</v>
      </c>
      <c r="E5" s="450">
        <v>20</v>
      </c>
      <c r="F5" s="180" t="s">
        <v>241</v>
      </c>
      <c r="G5" s="181" t="s">
        <v>255</v>
      </c>
      <c r="H5" s="460" t="s">
        <v>255</v>
      </c>
      <c r="I5" s="257"/>
      <c r="J5" s="258"/>
      <c r="K5" s="258"/>
      <c r="L5" s="444"/>
    </row>
    <row r="6" spans="2:12" ht="42" customHeight="1">
      <c r="B6" s="242">
        <v>2</v>
      </c>
      <c r="C6" s="233" t="s">
        <v>256</v>
      </c>
      <c r="D6" s="167">
        <v>1502</v>
      </c>
      <c r="E6" s="451">
        <v>32</v>
      </c>
      <c r="F6" s="168" t="s">
        <v>241</v>
      </c>
      <c r="G6" s="166" t="s">
        <v>255</v>
      </c>
      <c r="H6" s="170" t="s">
        <v>255</v>
      </c>
      <c r="I6" s="260"/>
      <c r="J6" s="258"/>
      <c r="K6" s="258"/>
      <c r="L6" s="444"/>
    </row>
    <row r="7" spans="2:12" ht="39.75" customHeight="1">
      <c r="B7" s="242">
        <v>3</v>
      </c>
      <c r="C7" s="233" t="s">
        <v>258</v>
      </c>
      <c r="D7" s="167">
        <v>316</v>
      </c>
      <c r="E7" s="451">
        <v>8</v>
      </c>
      <c r="F7" s="449" t="s">
        <v>259</v>
      </c>
      <c r="G7" s="166" t="s">
        <v>260</v>
      </c>
      <c r="H7" s="170" t="s">
        <v>255</v>
      </c>
      <c r="I7" s="260"/>
      <c r="J7" s="258"/>
      <c r="K7" s="258"/>
      <c r="L7" s="445"/>
    </row>
    <row r="8" spans="2:12" ht="31.5" customHeight="1">
      <c r="B8" s="242">
        <v>4</v>
      </c>
      <c r="C8" s="233" t="s">
        <v>261</v>
      </c>
      <c r="D8" s="166">
        <v>2408.65</v>
      </c>
      <c r="E8" s="451">
        <v>55</v>
      </c>
      <c r="F8" s="168" t="s">
        <v>241</v>
      </c>
      <c r="G8" s="171" t="s">
        <v>262</v>
      </c>
      <c r="H8" s="170" t="s">
        <v>255</v>
      </c>
      <c r="I8" s="260"/>
      <c r="J8" s="258"/>
      <c r="K8" s="258"/>
      <c r="L8" s="196"/>
    </row>
    <row r="9" spans="2:12" ht="34.5" customHeight="1">
      <c r="B9" s="241">
        <v>5</v>
      </c>
      <c r="C9" s="176" t="s">
        <v>263</v>
      </c>
      <c r="D9" s="166">
        <v>209278.5</v>
      </c>
      <c r="E9" s="451">
        <v>4269</v>
      </c>
      <c r="F9" s="167" t="s">
        <v>241</v>
      </c>
      <c r="G9" s="166" t="s">
        <v>264</v>
      </c>
      <c r="H9" s="461" t="s">
        <v>255</v>
      </c>
      <c r="I9" s="255"/>
      <c r="J9" s="258"/>
      <c r="K9" s="258"/>
      <c r="L9" s="196"/>
    </row>
    <row r="10" spans="2:12" ht="34.5" customHeight="1">
      <c r="B10" s="241">
        <v>6</v>
      </c>
      <c r="C10" s="171" t="s">
        <v>265</v>
      </c>
      <c r="D10" s="166">
        <v>20403.55</v>
      </c>
      <c r="E10" s="451">
        <v>344</v>
      </c>
      <c r="F10" s="167" t="s">
        <v>241</v>
      </c>
      <c r="G10" s="166" t="s">
        <v>266</v>
      </c>
      <c r="H10" s="170" t="s">
        <v>255</v>
      </c>
      <c r="I10" s="260"/>
      <c r="J10" s="258"/>
      <c r="K10" s="258"/>
      <c r="L10" s="196"/>
    </row>
    <row r="11" spans="2:12" ht="35.25" customHeight="1">
      <c r="B11" s="240">
        <v>7</v>
      </c>
      <c r="C11" s="452" t="s">
        <v>267</v>
      </c>
      <c r="D11" s="181">
        <v>8102.98</v>
      </c>
      <c r="E11" s="453">
        <v>168</v>
      </c>
      <c r="F11" s="179" t="s">
        <v>241</v>
      </c>
      <c r="G11" s="181" t="s">
        <v>255</v>
      </c>
      <c r="H11" s="183" t="s">
        <v>255</v>
      </c>
      <c r="I11" s="260"/>
      <c r="J11" s="258"/>
      <c r="K11" s="258"/>
      <c r="L11" s="196"/>
    </row>
    <row r="12" spans="2:12" ht="75" customHeight="1" thickBot="1">
      <c r="B12" s="243">
        <v>8</v>
      </c>
      <c r="C12" s="462" t="s">
        <v>269</v>
      </c>
      <c r="D12" s="173">
        <v>145522.72</v>
      </c>
      <c r="E12" s="454">
        <v>3130</v>
      </c>
      <c r="F12" s="174" t="s">
        <v>241</v>
      </c>
      <c r="G12" s="462" t="s">
        <v>268</v>
      </c>
      <c r="H12" s="175" t="s">
        <v>255</v>
      </c>
      <c r="I12" s="260"/>
      <c r="J12" s="258"/>
      <c r="K12" s="258"/>
      <c r="L12" s="196"/>
    </row>
    <row r="13" spans="2:12" ht="15.75" thickBot="1">
      <c r="C13" s="137" t="s">
        <v>13</v>
      </c>
      <c r="D13" s="138">
        <f>SUM(D5:D12)</f>
        <v>388455.05</v>
      </c>
      <c r="E13" s="138">
        <f>SUM(E5:E12)</f>
        <v>8026</v>
      </c>
      <c r="F13" s="140"/>
      <c r="H13" s="448"/>
      <c r="I13" s="448"/>
      <c r="J13" s="448"/>
      <c r="K13" s="448"/>
    </row>
    <row r="18" spans="10:11">
      <c r="J18" s="297"/>
    </row>
    <row r="24" spans="10:11">
      <c r="J24" s="310"/>
      <c r="K24" s="311"/>
    </row>
    <row r="25" spans="10:11">
      <c r="J25" s="310"/>
      <c r="K25" s="311"/>
    </row>
    <row r="26" spans="10:11">
      <c r="J26" s="310"/>
      <c r="K26" s="311"/>
    </row>
    <row r="27" spans="10:11">
      <c r="J27" s="310"/>
      <c r="K27" s="311"/>
    </row>
  </sheetData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"/>
  <sheetViews>
    <sheetView showGridLines="0" view="pageBreakPreview" topLeftCell="A7" zoomScale="93" zoomScaleNormal="100" zoomScaleSheetLayoutView="93" workbookViewId="0">
      <selection activeCell="C8" sqref="C8"/>
    </sheetView>
  </sheetViews>
  <sheetFormatPr defaultRowHeight="15"/>
  <cols>
    <col min="1" max="1" width="2.5" style="13" customWidth="1"/>
    <col min="2" max="2" width="26.125" style="13" bestFit="1" customWidth="1"/>
    <col min="3" max="4" width="13.625" style="13" customWidth="1"/>
    <col min="5" max="5" width="42.125" style="151" customWidth="1"/>
    <col min="6" max="6" width="13.5" style="13" bestFit="1" customWidth="1"/>
    <col min="7" max="7" width="2.5" style="13" customWidth="1"/>
    <col min="8" max="8" width="9.125" style="13" bestFit="1" customWidth="1"/>
    <col min="9" max="9" width="12.75" style="13" customWidth="1"/>
    <col min="10" max="10" width="13.75" style="13" customWidth="1"/>
    <col min="11" max="11" width="18" style="13" customWidth="1"/>
    <col min="12" max="12" width="13.5" style="13" bestFit="1" customWidth="1"/>
    <col min="13" max="13" width="9" style="13" customWidth="1"/>
    <col min="14" max="14" width="11.625" style="13" customWidth="1"/>
    <col min="15" max="15" width="9" style="13" customWidth="1"/>
    <col min="16" max="18" width="11.625" style="13" customWidth="1"/>
    <col min="19" max="19" width="9" style="13" customWidth="1"/>
    <col min="20" max="16384" width="9" style="13"/>
  </cols>
  <sheetData>
    <row r="1" spans="1:11" s="20" customFormat="1" ht="15" customHeight="1" thickBot="1">
      <c r="E1" s="148"/>
      <c r="J1" s="292"/>
      <c r="K1" s="292"/>
    </row>
    <row r="2" spans="1:11" s="20" customFormat="1" ht="19.5" thickBot="1">
      <c r="B2" s="21" t="s">
        <v>113</v>
      </c>
      <c r="C2" s="22"/>
      <c r="D2" s="22"/>
      <c r="E2" s="149"/>
      <c r="F2" s="22"/>
      <c r="G2" s="22"/>
      <c r="H2" s="22"/>
      <c r="I2" s="22"/>
      <c r="J2" s="292"/>
      <c r="K2" s="292"/>
    </row>
    <row r="3" spans="1:11" s="20" customFormat="1" ht="15" customHeight="1" thickBot="1">
      <c r="E3" s="148"/>
      <c r="J3" s="292"/>
      <c r="K3" s="292"/>
    </row>
    <row r="4" spans="1:11" s="20" customFormat="1" ht="15" customHeight="1" thickBot="1">
      <c r="B4" s="132" t="s">
        <v>140</v>
      </c>
      <c r="E4" s="148"/>
      <c r="J4" s="292"/>
      <c r="K4" s="292"/>
    </row>
    <row r="5" spans="1:11" ht="18.75" customHeight="1" thickBot="1">
      <c r="B5" s="270" t="s">
        <v>118</v>
      </c>
      <c r="C5" s="271" t="s">
        <v>134</v>
      </c>
      <c r="D5" s="272" t="s">
        <v>133</v>
      </c>
      <c r="E5" s="273" t="s">
        <v>119</v>
      </c>
      <c r="J5" s="197"/>
      <c r="K5" s="197"/>
    </row>
    <row r="6" spans="1:11" ht="61.5" customHeight="1">
      <c r="B6" s="274" t="s">
        <v>114</v>
      </c>
      <c r="C6" s="275">
        <v>0.22600000000000001</v>
      </c>
      <c r="D6" s="276" t="s">
        <v>135</v>
      </c>
      <c r="E6" s="277" t="s">
        <v>139</v>
      </c>
      <c r="J6" s="197"/>
      <c r="K6" s="197"/>
    </row>
    <row r="7" spans="1:11" ht="60">
      <c r="B7" s="133" t="s">
        <v>115</v>
      </c>
      <c r="C7" s="134">
        <v>9.8000000000000004E-2</v>
      </c>
      <c r="D7" s="147" t="s">
        <v>135</v>
      </c>
      <c r="E7" s="146" t="s">
        <v>138</v>
      </c>
    </row>
    <row r="8" spans="1:11" ht="60">
      <c r="B8" s="133" t="s">
        <v>116</v>
      </c>
      <c r="C8" s="134">
        <v>7.5999999999999998E-2</v>
      </c>
      <c r="D8" s="147" t="s">
        <v>135</v>
      </c>
      <c r="E8" s="146" t="s">
        <v>138</v>
      </c>
    </row>
    <row r="9" spans="1:11" ht="60">
      <c r="B9" s="133" t="s">
        <v>86</v>
      </c>
      <c r="C9" s="134">
        <v>5.5E-2</v>
      </c>
      <c r="D9" s="147" t="s">
        <v>135</v>
      </c>
      <c r="E9" s="146" t="s">
        <v>138</v>
      </c>
    </row>
    <row r="10" spans="1:11" ht="60">
      <c r="B10" s="133" t="s">
        <v>117</v>
      </c>
      <c r="C10" s="134">
        <v>9.4E-2</v>
      </c>
      <c r="D10" s="147" t="s">
        <v>135</v>
      </c>
      <c r="E10" s="146" t="s">
        <v>138</v>
      </c>
    </row>
    <row r="11" spans="1:11" ht="37.5" customHeight="1">
      <c r="B11" s="133" t="s">
        <v>130</v>
      </c>
      <c r="C11" s="134">
        <v>155</v>
      </c>
      <c r="D11" s="147" t="s">
        <v>136</v>
      </c>
      <c r="E11" s="146" t="s">
        <v>137</v>
      </c>
    </row>
    <row r="12" spans="1:11" ht="37.5" customHeight="1">
      <c r="B12" s="133" t="s">
        <v>131</v>
      </c>
      <c r="C12" s="134">
        <v>200</v>
      </c>
      <c r="D12" s="147" t="s">
        <v>136</v>
      </c>
      <c r="E12" s="146" t="s">
        <v>137</v>
      </c>
    </row>
    <row r="13" spans="1:11" ht="37.5" customHeight="1">
      <c r="B13" s="133" t="s">
        <v>49</v>
      </c>
      <c r="C13" s="134">
        <v>450</v>
      </c>
      <c r="D13" s="147" t="s">
        <v>136</v>
      </c>
      <c r="E13" s="146" t="s">
        <v>137</v>
      </c>
    </row>
    <row r="14" spans="1:11" ht="37.5" customHeight="1">
      <c r="B14" s="133" t="s">
        <v>132</v>
      </c>
      <c r="C14" s="134">
        <v>900</v>
      </c>
      <c r="D14" s="147" t="s">
        <v>136</v>
      </c>
      <c r="E14" s="146" t="s">
        <v>137</v>
      </c>
    </row>
    <row r="15" spans="1:11" ht="37.5" customHeight="1" thickBot="1">
      <c r="B15" s="135" t="s">
        <v>59</v>
      </c>
      <c r="C15" s="136">
        <v>450</v>
      </c>
      <c r="D15" s="278" t="s">
        <v>136</v>
      </c>
      <c r="E15" s="150" t="s">
        <v>137</v>
      </c>
    </row>
    <row r="16" spans="1:11">
      <c r="A16" s="27"/>
      <c r="B16" s="267"/>
      <c r="C16" s="267"/>
      <c r="D16" s="267"/>
      <c r="E16" s="268"/>
      <c r="F16" s="27"/>
    </row>
    <row r="17" spans="1:6">
      <c r="A17" s="27"/>
      <c r="B17" s="267"/>
      <c r="C17" s="267"/>
      <c r="D17" s="267"/>
      <c r="E17" s="268"/>
      <c r="F17" s="27"/>
    </row>
    <row r="18" spans="1:6">
      <c r="A18" s="27"/>
      <c r="B18" s="267"/>
      <c r="C18" s="267"/>
      <c r="D18" s="267"/>
      <c r="E18" s="268"/>
      <c r="F18" s="27"/>
    </row>
    <row r="19" spans="1:6">
      <c r="A19" s="27"/>
      <c r="B19" s="267"/>
      <c r="C19" s="267"/>
      <c r="D19" s="267"/>
      <c r="E19" s="268"/>
      <c r="F19" s="27"/>
    </row>
    <row r="20" spans="1:6">
      <c r="A20" s="27"/>
      <c r="B20" s="267"/>
      <c r="C20" s="267"/>
      <c r="D20" s="267"/>
      <c r="E20" s="268"/>
      <c r="F20" s="27"/>
    </row>
    <row r="21" spans="1:6">
      <c r="A21" s="27"/>
      <c r="B21" s="27"/>
      <c r="C21" s="27"/>
      <c r="D21" s="27"/>
      <c r="E21" s="269"/>
      <c r="F21" s="27"/>
    </row>
    <row r="22" spans="1:6">
      <c r="A22" s="27"/>
      <c r="B22" s="27"/>
      <c r="C22" s="27"/>
      <c r="D22" s="27"/>
      <c r="E22" s="269"/>
      <c r="F22" s="27"/>
    </row>
    <row r="23" spans="1:6">
      <c r="A23" s="27"/>
      <c r="B23" s="27"/>
      <c r="C23" s="27"/>
      <c r="D23" s="27"/>
      <c r="E23" s="269"/>
      <c r="F23" s="27"/>
    </row>
    <row r="24" spans="1:6">
      <c r="A24" s="27"/>
      <c r="B24" s="27"/>
      <c r="C24" s="27"/>
      <c r="D24" s="27"/>
      <c r="E24" s="269"/>
      <c r="F24" s="27"/>
    </row>
    <row r="25" spans="1:6">
      <c r="A25" s="27"/>
      <c r="B25" s="27"/>
      <c r="C25" s="27"/>
      <c r="D25" s="27"/>
      <c r="E25" s="269"/>
      <c r="F25" s="27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B1:J46"/>
  <sheetViews>
    <sheetView showGridLines="0" view="pageBreakPreview" topLeftCell="A34" zoomScaleNormal="100" zoomScaleSheetLayoutView="100" workbookViewId="0">
      <selection activeCell="D38" sqref="D38:G45"/>
    </sheetView>
  </sheetViews>
  <sheetFormatPr defaultRowHeight="15"/>
  <cols>
    <col min="1" max="1" width="4.375" style="818" customWidth="1"/>
    <col min="2" max="3" width="2.5" style="818" customWidth="1"/>
    <col min="4" max="4" width="21.625" style="877" customWidth="1"/>
    <col min="5" max="5" width="20.75" style="818" customWidth="1"/>
    <col min="6" max="6" width="13.5" style="818" bestFit="1" customWidth="1"/>
    <col min="7" max="8" width="15.625" style="818" customWidth="1"/>
    <col min="9" max="9" width="16" style="818" customWidth="1"/>
    <col min="10" max="11" width="6.125" style="818" customWidth="1"/>
    <col min="12" max="12" width="9" style="818" customWidth="1"/>
    <col min="13" max="13" width="11.625" style="818" customWidth="1"/>
    <col min="14" max="14" width="9" style="818" customWidth="1"/>
    <col min="15" max="17" width="11.625" style="818" customWidth="1"/>
    <col min="18" max="18" width="9" style="818" customWidth="1"/>
    <col min="19" max="16384" width="9" style="818"/>
  </cols>
  <sheetData>
    <row r="1" spans="2:10" ht="15" customHeight="1" thickBot="1"/>
    <row r="2" spans="2:10" ht="19.5" thickBot="1">
      <c r="B2" s="1119" t="s">
        <v>486</v>
      </c>
      <c r="C2" s="1120"/>
      <c r="D2" s="1120"/>
      <c r="E2" s="1120"/>
      <c r="F2" s="1120"/>
      <c r="G2" s="1120"/>
      <c r="H2" s="1120"/>
      <c r="I2" s="1120"/>
      <c r="J2" s="1121"/>
    </row>
    <row r="3" spans="2:10" ht="15.75" thickBot="1">
      <c r="C3" s="837"/>
      <c r="D3" s="878"/>
      <c r="E3" s="825"/>
      <c r="F3" s="825"/>
      <c r="G3" s="825"/>
      <c r="H3" s="825"/>
      <c r="I3" s="825"/>
      <c r="J3" s="837"/>
    </row>
    <row r="4" spans="2:10" ht="15" customHeight="1" thickBot="1">
      <c r="B4" s="838"/>
      <c r="C4" s="851"/>
      <c r="D4" s="879"/>
      <c r="E4" s="851"/>
      <c r="F4" s="851"/>
      <c r="G4" s="851"/>
      <c r="H4" s="851"/>
      <c r="I4" s="851"/>
      <c r="J4" s="852"/>
    </row>
    <row r="5" spans="2:10" ht="15.75" thickBot="1">
      <c r="B5" s="815"/>
      <c r="C5" s="816"/>
      <c r="D5" s="1122" t="s">
        <v>464</v>
      </c>
      <c r="E5" s="1123"/>
      <c r="F5" s="853"/>
      <c r="G5" s="853"/>
      <c r="H5" s="853"/>
      <c r="I5" s="853"/>
      <c r="J5" s="817"/>
    </row>
    <row r="6" spans="2:10" ht="33">
      <c r="B6" s="815"/>
      <c r="C6" s="816"/>
      <c r="D6" s="854" t="s">
        <v>207</v>
      </c>
      <c r="E6" s="855" t="s">
        <v>105</v>
      </c>
      <c r="F6" s="855" t="s">
        <v>208</v>
      </c>
      <c r="G6" s="855" t="s">
        <v>106</v>
      </c>
      <c r="H6" s="819" t="s">
        <v>489</v>
      </c>
      <c r="I6" s="856" t="s">
        <v>491</v>
      </c>
      <c r="J6" s="817"/>
    </row>
    <row r="7" spans="2:10">
      <c r="B7" s="815"/>
      <c r="C7" s="816"/>
      <c r="D7" s="871">
        <f>(G7/(F7*E7)*1000000)</f>
        <v>81.397321916111125</v>
      </c>
      <c r="E7" s="820">
        <v>3386</v>
      </c>
      <c r="F7" s="857">
        <v>4024</v>
      </c>
      <c r="G7" s="858">
        <v>1109.06</v>
      </c>
      <c r="H7" s="858">
        <v>0.81200000000000006</v>
      </c>
      <c r="I7" s="859">
        <f>G7*H7</f>
        <v>900.55672000000004</v>
      </c>
      <c r="J7" s="817"/>
    </row>
    <row r="8" spans="2:10" ht="15.75" thickBot="1">
      <c r="B8" s="815"/>
      <c r="C8" s="816"/>
      <c r="D8" s="880"/>
      <c r="E8" s="860"/>
      <c r="F8" s="821" t="s">
        <v>13</v>
      </c>
      <c r="G8" s="822">
        <f>SUM(G7:G7)</f>
        <v>1109.06</v>
      </c>
      <c r="H8" s="823"/>
      <c r="I8" s="824">
        <f>SUM(I7:I7)</f>
        <v>900.55672000000004</v>
      </c>
      <c r="J8" s="817"/>
    </row>
    <row r="9" spans="2:10" ht="15.75" thickBot="1">
      <c r="B9" s="815"/>
      <c r="C9" s="816"/>
      <c r="D9" s="872"/>
      <c r="E9" s="861"/>
      <c r="F9" s="861"/>
      <c r="G9" s="861"/>
      <c r="H9" s="825"/>
      <c r="I9" s="816"/>
      <c r="J9" s="817"/>
    </row>
    <row r="10" spans="2:10" ht="15.75" thickBot="1">
      <c r="B10" s="815"/>
      <c r="C10" s="816"/>
      <c r="D10" s="1122" t="s">
        <v>206</v>
      </c>
      <c r="E10" s="1123"/>
      <c r="F10" s="823"/>
      <c r="G10" s="861"/>
      <c r="H10" s="825"/>
      <c r="I10" s="816"/>
      <c r="J10" s="817"/>
    </row>
    <row r="11" spans="2:10">
      <c r="B11" s="815"/>
      <c r="C11" s="816"/>
      <c r="D11" s="881" t="s">
        <v>209</v>
      </c>
      <c r="E11" s="826">
        <f>((D7*E7))/(E7)</f>
        <v>81.397321916111125</v>
      </c>
      <c r="F11" s="827" t="s">
        <v>210</v>
      </c>
      <c r="G11" s="816"/>
      <c r="H11" s="816"/>
      <c r="I11" s="816"/>
      <c r="J11" s="817"/>
    </row>
    <row r="12" spans="2:10">
      <c r="B12" s="815"/>
      <c r="C12" s="816"/>
      <c r="D12" s="882" t="s">
        <v>211</v>
      </c>
      <c r="E12" s="828">
        <f>((D7*E7))/1000</f>
        <v>275.61133200795229</v>
      </c>
      <c r="F12" s="829" t="s">
        <v>212</v>
      </c>
      <c r="G12" s="816"/>
      <c r="H12" s="816"/>
      <c r="I12" s="816"/>
      <c r="J12" s="817"/>
    </row>
    <row r="13" spans="2:10" ht="15.75" thickBot="1">
      <c r="B13" s="830"/>
      <c r="C13" s="831"/>
      <c r="D13" s="883"/>
      <c r="E13" s="832"/>
      <c r="F13" s="833"/>
      <c r="G13" s="831"/>
      <c r="H13" s="831"/>
      <c r="I13" s="831"/>
      <c r="J13" s="834"/>
    </row>
    <row r="14" spans="2:10" s="837" customFormat="1" ht="15.75" thickBot="1">
      <c r="B14" s="825"/>
      <c r="C14" s="825"/>
      <c r="D14" s="884"/>
      <c r="E14" s="835"/>
      <c r="F14" s="836"/>
      <c r="G14" s="825"/>
      <c r="H14" s="825"/>
      <c r="I14" s="825"/>
      <c r="J14" s="825"/>
    </row>
    <row r="15" spans="2:10" ht="15.75" thickBot="1">
      <c r="B15" s="838"/>
      <c r="C15" s="839"/>
      <c r="D15" s="885"/>
      <c r="E15" s="839"/>
      <c r="F15" s="839"/>
      <c r="G15" s="839"/>
      <c r="H15" s="839"/>
      <c r="I15" s="839"/>
      <c r="J15" s="840"/>
    </row>
    <row r="16" spans="2:10" ht="15.75" thickBot="1">
      <c r="B16" s="815"/>
      <c r="C16" s="816"/>
      <c r="D16" s="1124" t="s">
        <v>487</v>
      </c>
      <c r="E16" s="1125"/>
      <c r="F16" s="862"/>
      <c r="G16" s="862"/>
      <c r="H16" s="853"/>
      <c r="I16" s="853"/>
      <c r="J16" s="817"/>
    </row>
    <row r="17" spans="2:10" ht="48">
      <c r="B17" s="815"/>
      <c r="C17" s="816"/>
      <c r="D17" s="863" t="s">
        <v>208</v>
      </c>
      <c r="E17" s="864" t="s">
        <v>106</v>
      </c>
      <c r="F17" s="841" t="s">
        <v>490</v>
      </c>
      <c r="G17" s="865" t="s">
        <v>492</v>
      </c>
      <c r="H17" s="816"/>
      <c r="I17" s="816"/>
      <c r="J17" s="817"/>
    </row>
    <row r="18" spans="2:10" ht="15.75" thickBot="1">
      <c r="B18" s="815"/>
      <c r="C18" s="816"/>
      <c r="D18" s="873">
        <v>4024</v>
      </c>
      <c r="E18" s="866">
        <v>2444.0909999999999</v>
      </c>
      <c r="F18" s="866">
        <v>0.81200000000000006</v>
      </c>
      <c r="G18" s="867">
        <f>E18*F18</f>
        <v>1984.6018920000001</v>
      </c>
      <c r="H18" s="816"/>
      <c r="I18" s="816"/>
      <c r="J18" s="817"/>
    </row>
    <row r="19" spans="2:10" ht="15.75" thickBot="1">
      <c r="B19" s="815"/>
      <c r="C19" s="816"/>
      <c r="D19" s="874" t="s">
        <v>13</v>
      </c>
      <c r="E19" s="842">
        <f>SUM(E18:E18)</f>
        <v>2444.0909999999999</v>
      </c>
      <c r="F19" s="843"/>
      <c r="G19" s="844">
        <f>SUM(G18:G18)</f>
        <v>1984.6018920000001</v>
      </c>
      <c r="H19" s="816"/>
      <c r="I19" s="816"/>
      <c r="J19" s="817"/>
    </row>
    <row r="20" spans="2:10">
      <c r="B20" s="815"/>
      <c r="C20" s="816"/>
      <c r="D20" s="875"/>
      <c r="E20" s="868"/>
      <c r="F20" s="868"/>
      <c r="G20" s="868"/>
      <c r="H20" s="825"/>
      <c r="I20" s="816"/>
      <c r="J20" s="817"/>
    </row>
    <row r="21" spans="2:10" ht="15.75" thickBot="1">
      <c r="B21" s="815"/>
      <c r="C21" s="816"/>
      <c r="D21" s="875"/>
      <c r="E21" s="868"/>
      <c r="F21" s="868"/>
      <c r="G21" s="868"/>
      <c r="H21" s="825"/>
      <c r="I21" s="816"/>
      <c r="J21" s="817"/>
    </row>
    <row r="22" spans="2:10" ht="15.75" thickBot="1">
      <c r="B22" s="815"/>
      <c r="C22" s="816"/>
      <c r="D22" s="1124" t="s">
        <v>206</v>
      </c>
      <c r="E22" s="1125"/>
      <c r="F22" s="843"/>
      <c r="G22" s="868"/>
      <c r="H22" s="825"/>
      <c r="I22" s="816"/>
      <c r="J22" s="817"/>
    </row>
    <row r="23" spans="2:10" ht="15.75" thickBot="1">
      <c r="B23" s="815"/>
      <c r="C23" s="816"/>
      <c r="D23" s="886" t="s">
        <v>211</v>
      </c>
      <c r="E23" s="845">
        <v>622</v>
      </c>
      <c r="F23" s="846" t="s">
        <v>212</v>
      </c>
      <c r="G23" s="847"/>
      <c r="H23" s="816"/>
      <c r="I23" s="816"/>
      <c r="J23" s="817"/>
    </row>
    <row r="24" spans="2:10" ht="15.75" thickBot="1">
      <c r="B24" s="830"/>
      <c r="C24" s="831"/>
      <c r="D24" s="887"/>
      <c r="E24" s="831"/>
      <c r="F24" s="831"/>
      <c r="G24" s="831"/>
      <c r="H24" s="831"/>
      <c r="I24" s="831"/>
      <c r="J24" s="834"/>
    </row>
    <row r="25" spans="2:10" ht="15.75" thickBot="1">
      <c r="B25" s="816"/>
      <c r="C25" s="816"/>
      <c r="D25" s="888"/>
      <c r="E25" s="816"/>
      <c r="F25" s="816"/>
      <c r="G25" s="816"/>
      <c r="H25" s="816"/>
      <c r="I25" s="816"/>
      <c r="J25" s="816"/>
    </row>
    <row r="26" spans="2:10" ht="15.75" thickBot="1">
      <c r="B26" s="838"/>
      <c r="C26" s="839"/>
      <c r="D26" s="889"/>
      <c r="E26" s="848"/>
      <c r="F26" s="839"/>
      <c r="G26" s="839"/>
      <c r="H26" s="839"/>
      <c r="I26" s="839"/>
      <c r="J26" s="840"/>
    </row>
    <row r="27" spans="2:10" ht="15.75" thickBot="1">
      <c r="B27" s="815"/>
      <c r="C27" s="816"/>
      <c r="D27" s="1117" t="s">
        <v>488</v>
      </c>
      <c r="E27" s="1118"/>
      <c r="F27" s="862"/>
      <c r="G27" s="862"/>
      <c r="H27" s="853"/>
      <c r="I27" s="853"/>
      <c r="J27" s="817"/>
    </row>
    <row r="28" spans="2:10" ht="48">
      <c r="B28" s="815"/>
      <c r="C28" s="816"/>
      <c r="D28" s="864" t="s">
        <v>208</v>
      </c>
      <c r="E28" s="864" t="s">
        <v>106</v>
      </c>
      <c r="F28" s="841" t="s">
        <v>490</v>
      </c>
      <c r="G28" s="865" t="s">
        <v>492</v>
      </c>
      <c r="H28" s="816"/>
      <c r="I28" s="816"/>
      <c r="J28" s="817"/>
    </row>
    <row r="29" spans="2:10">
      <c r="B29" s="815"/>
      <c r="C29" s="816"/>
      <c r="D29" s="876">
        <v>4024</v>
      </c>
      <c r="E29" s="869">
        <v>2949.2249999999999</v>
      </c>
      <c r="F29" s="869">
        <v>0.81200000000000006</v>
      </c>
      <c r="G29" s="870">
        <f>E29*F29</f>
        <v>2394.7707</v>
      </c>
      <c r="H29" s="816"/>
      <c r="I29" s="816"/>
      <c r="J29" s="817"/>
    </row>
    <row r="30" spans="2:10" ht="15.75" thickBot="1">
      <c r="B30" s="815"/>
      <c r="C30" s="816"/>
      <c r="D30" s="874" t="s">
        <v>13</v>
      </c>
      <c r="E30" s="842">
        <f>SUM(E29:E29)</f>
        <v>2949.2249999999999</v>
      </c>
      <c r="F30" s="843"/>
      <c r="G30" s="844">
        <f>SUM(G29:G29)</f>
        <v>2394.7707</v>
      </c>
      <c r="H30" s="816"/>
      <c r="I30" s="816"/>
      <c r="J30" s="817"/>
    </row>
    <row r="31" spans="2:10">
      <c r="B31" s="815"/>
      <c r="C31" s="816"/>
      <c r="D31" s="875"/>
      <c r="E31" s="868"/>
      <c r="F31" s="868"/>
      <c r="G31" s="868"/>
      <c r="H31" s="825"/>
      <c r="I31" s="816"/>
      <c r="J31" s="817"/>
    </row>
    <row r="32" spans="2:10" ht="15.75" thickBot="1">
      <c r="B32" s="815"/>
      <c r="C32" s="816"/>
      <c r="D32" s="875"/>
      <c r="E32" s="868"/>
      <c r="F32" s="868"/>
      <c r="G32" s="868"/>
      <c r="H32" s="825"/>
      <c r="I32" s="816"/>
      <c r="J32" s="817"/>
    </row>
    <row r="33" spans="2:10" ht="15.75" thickBot="1">
      <c r="B33" s="815"/>
      <c r="C33" s="816"/>
      <c r="D33" s="1115" t="s">
        <v>206</v>
      </c>
      <c r="E33" s="1116"/>
      <c r="F33" s="843"/>
      <c r="G33" s="868"/>
      <c r="H33" s="825"/>
      <c r="I33" s="816"/>
      <c r="J33" s="817"/>
    </row>
    <row r="34" spans="2:10" ht="15.75" thickBot="1">
      <c r="B34" s="815"/>
      <c r="C34" s="816"/>
      <c r="D34" s="886" t="s">
        <v>211</v>
      </c>
      <c r="E34" s="849">
        <v>714</v>
      </c>
      <c r="F34" s="850" t="s">
        <v>212</v>
      </c>
      <c r="G34" s="847"/>
      <c r="H34" s="816"/>
      <c r="I34" s="816"/>
      <c r="J34" s="817"/>
    </row>
    <row r="35" spans="2:10" ht="15.75" thickBot="1">
      <c r="B35" s="830"/>
      <c r="C35" s="831"/>
      <c r="D35" s="887"/>
      <c r="E35" s="831"/>
      <c r="F35" s="831"/>
      <c r="G35" s="831"/>
      <c r="H35" s="831"/>
      <c r="I35" s="831"/>
      <c r="J35" s="834"/>
    </row>
    <row r="36" spans="2:10" ht="15.75" thickBot="1">
      <c r="B36" s="816"/>
      <c r="C36" s="816"/>
      <c r="D36" s="888"/>
      <c r="E36" s="816"/>
      <c r="F36" s="816"/>
      <c r="G36" s="816"/>
      <c r="H36" s="816"/>
      <c r="I36" s="816"/>
      <c r="J36" s="816"/>
    </row>
    <row r="37" spans="2:10" ht="15.75" thickBot="1">
      <c r="B37" s="838"/>
      <c r="C37" s="839"/>
      <c r="D37" s="889"/>
      <c r="E37" s="848"/>
      <c r="F37" s="839"/>
      <c r="G37" s="839"/>
      <c r="H37" s="839"/>
      <c r="I37" s="839"/>
      <c r="J37" s="840"/>
    </row>
    <row r="38" spans="2:10" ht="15.75" thickBot="1">
      <c r="B38" s="815"/>
      <c r="C38" s="816"/>
      <c r="D38" s="1117" t="s">
        <v>479</v>
      </c>
      <c r="E38" s="1118"/>
      <c r="F38" s="862"/>
      <c r="G38" s="862"/>
      <c r="H38" s="853"/>
      <c r="I38" s="853"/>
      <c r="J38" s="817"/>
    </row>
    <row r="39" spans="2:10" ht="48">
      <c r="B39" s="815"/>
      <c r="C39" s="816"/>
      <c r="D39" s="863" t="s">
        <v>208</v>
      </c>
      <c r="E39" s="864" t="s">
        <v>106</v>
      </c>
      <c r="F39" s="841" t="s">
        <v>490</v>
      </c>
      <c r="G39" s="865" t="s">
        <v>492</v>
      </c>
      <c r="H39" s="816"/>
      <c r="I39" s="816"/>
      <c r="J39" s="817"/>
    </row>
    <row r="40" spans="2:10" ht="15.75" thickBot="1">
      <c r="B40" s="815"/>
      <c r="C40" s="816"/>
      <c r="D40" s="873">
        <v>4024</v>
      </c>
      <c r="E40" s="866">
        <v>1743.56</v>
      </c>
      <c r="F40" s="866">
        <v>0.81200000000000006</v>
      </c>
      <c r="G40" s="867">
        <f>E40*F40</f>
        <v>1415.77072</v>
      </c>
      <c r="H40" s="816"/>
      <c r="I40" s="816"/>
      <c r="J40" s="817"/>
    </row>
    <row r="41" spans="2:10" ht="15.75" thickBot="1">
      <c r="B41" s="815"/>
      <c r="C41" s="816"/>
      <c r="D41" s="874" t="s">
        <v>13</v>
      </c>
      <c r="E41" s="842">
        <f>SUM(E40:E40)</f>
        <v>1743.56</v>
      </c>
      <c r="F41" s="843"/>
      <c r="G41" s="844">
        <f>SUM(G40:G40)</f>
        <v>1415.77072</v>
      </c>
      <c r="H41" s="816"/>
      <c r="I41" s="816"/>
      <c r="J41" s="817"/>
    </row>
    <row r="42" spans="2:10">
      <c r="B42" s="815"/>
      <c r="C42" s="816"/>
      <c r="D42" s="875"/>
      <c r="E42" s="868"/>
      <c r="F42" s="868"/>
      <c r="G42" s="868"/>
      <c r="H42" s="825"/>
      <c r="I42" s="816"/>
      <c r="J42" s="817"/>
    </row>
    <row r="43" spans="2:10" ht="15.75" thickBot="1">
      <c r="B43" s="815"/>
      <c r="C43" s="816"/>
      <c r="D43" s="875"/>
      <c r="E43" s="868"/>
      <c r="F43" s="868"/>
      <c r="G43" s="868"/>
      <c r="H43" s="825"/>
      <c r="I43" s="816"/>
      <c r="J43" s="817"/>
    </row>
    <row r="44" spans="2:10" ht="15.75" thickBot="1">
      <c r="B44" s="815"/>
      <c r="C44" s="816"/>
      <c r="D44" s="1115" t="s">
        <v>206</v>
      </c>
      <c r="E44" s="1116"/>
      <c r="F44" s="843"/>
      <c r="G44" s="868"/>
      <c r="H44" s="825"/>
      <c r="I44" s="816"/>
      <c r="J44" s="817"/>
    </row>
    <row r="45" spans="2:10" ht="15.75" thickBot="1">
      <c r="B45" s="815"/>
      <c r="C45" s="816"/>
      <c r="D45" s="886" t="s">
        <v>211</v>
      </c>
      <c r="E45" s="849">
        <v>730</v>
      </c>
      <c r="F45" s="850" t="s">
        <v>212</v>
      </c>
      <c r="G45" s="847"/>
      <c r="H45" s="816"/>
      <c r="I45" s="816"/>
      <c r="J45" s="817"/>
    </row>
    <row r="46" spans="2:10" ht="15.75" thickBot="1">
      <c r="B46" s="830"/>
      <c r="C46" s="831"/>
      <c r="D46" s="887"/>
      <c r="E46" s="831"/>
      <c r="F46" s="831"/>
      <c r="G46" s="831"/>
      <c r="H46" s="831"/>
      <c r="I46" s="831"/>
      <c r="J46" s="834"/>
    </row>
  </sheetData>
  <mergeCells count="9">
    <mergeCell ref="D33:E33"/>
    <mergeCell ref="D38:E38"/>
    <mergeCell ref="D44:E44"/>
    <mergeCell ref="B2:J2"/>
    <mergeCell ref="D5:E5"/>
    <mergeCell ref="D10:E10"/>
    <mergeCell ref="D16:E16"/>
    <mergeCell ref="D22:E22"/>
    <mergeCell ref="D27:E27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25" max="10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M70"/>
  <sheetViews>
    <sheetView showGridLines="0" view="pageBreakPreview" zoomScale="87" zoomScaleNormal="100" zoomScaleSheetLayoutView="87" workbookViewId="0">
      <selection activeCell="I27" sqref="I27"/>
    </sheetView>
  </sheetViews>
  <sheetFormatPr defaultRowHeight="14.25"/>
  <cols>
    <col min="2" max="2" width="5.75" customWidth="1"/>
    <col min="3" max="3" width="26.875" customWidth="1"/>
    <col min="4" max="4" width="11.5" customWidth="1"/>
    <col min="5" max="5" width="11" customWidth="1"/>
    <col min="6" max="6" width="11.875" customWidth="1"/>
    <col min="7" max="7" width="14.125" customWidth="1"/>
    <col min="8" max="8" width="10.5" customWidth="1"/>
    <col min="9" max="9" width="12.125" customWidth="1"/>
    <col min="10" max="10" width="11.625" customWidth="1"/>
    <col min="11" max="11" width="12.75" customWidth="1"/>
  </cols>
  <sheetData>
    <row r="1" spans="1:13" ht="15" thickBot="1"/>
    <row r="2" spans="1:13" ht="64.5" customHeight="1">
      <c r="B2" s="245" t="s">
        <v>107</v>
      </c>
      <c r="C2" s="246" t="s">
        <v>108</v>
      </c>
      <c r="D2" s="246" t="s">
        <v>167</v>
      </c>
      <c r="E2" s="246" t="s">
        <v>110</v>
      </c>
      <c r="F2" s="246" t="s">
        <v>168</v>
      </c>
      <c r="G2" s="246" t="s">
        <v>111</v>
      </c>
      <c r="H2" s="246" t="s">
        <v>100</v>
      </c>
      <c r="I2" s="246" t="s">
        <v>169</v>
      </c>
      <c r="J2" s="247" t="s">
        <v>170</v>
      </c>
      <c r="K2" s="248" t="s">
        <v>171</v>
      </c>
    </row>
    <row r="3" spans="1:13" ht="27" customHeight="1">
      <c r="B3" s="240">
        <v>1</v>
      </c>
      <c r="C3" s="236" t="s">
        <v>172</v>
      </c>
      <c r="D3" s="179">
        <v>254.88</v>
      </c>
      <c r="E3" s="180">
        <v>0.08</v>
      </c>
      <c r="F3" s="180">
        <v>0.25</v>
      </c>
      <c r="G3" s="181" t="s">
        <v>98</v>
      </c>
      <c r="H3" s="180">
        <v>238.66</v>
      </c>
      <c r="I3" s="182">
        <v>9.4E-2</v>
      </c>
      <c r="J3" s="179">
        <f t="shared" ref="J3:J8" si="0">E3*F3</f>
        <v>0.02</v>
      </c>
      <c r="K3" s="183">
        <f>I3*H3</f>
        <v>22.43404</v>
      </c>
    </row>
    <row r="4" spans="1:13" ht="27.75" customHeight="1">
      <c r="B4" s="241">
        <v>2</v>
      </c>
      <c r="C4" s="165" t="s">
        <v>173</v>
      </c>
      <c r="D4" s="166">
        <v>3238.15</v>
      </c>
      <c r="E4" s="167">
        <v>4.72</v>
      </c>
      <c r="F4" s="167">
        <v>0.25</v>
      </c>
      <c r="G4" s="166" t="s">
        <v>98</v>
      </c>
      <c r="H4" s="167">
        <v>865.12</v>
      </c>
      <c r="I4" s="169">
        <v>9.4E-2</v>
      </c>
      <c r="J4" s="167">
        <f t="shared" si="0"/>
        <v>1.18</v>
      </c>
      <c r="K4" s="170">
        <f>H4*I4</f>
        <v>81.321280000000002</v>
      </c>
    </row>
    <row r="5" spans="1:13" ht="27.75" customHeight="1">
      <c r="B5" s="241">
        <v>3</v>
      </c>
      <c r="C5" s="165" t="s">
        <v>176</v>
      </c>
      <c r="D5" s="167">
        <v>384.2</v>
      </c>
      <c r="E5" s="167">
        <v>0.83</v>
      </c>
      <c r="F5" s="167">
        <v>0.25</v>
      </c>
      <c r="G5" s="166" t="s">
        <v>98</v>
      </c>
      <c r="H5" s="167">
        <v>281.76</v>
      </c>
      <c r="I5" s="169">
        <v>9.4E-2</v>
      </c>
      <c r="J5" s="167">
        <f t="shared" si="0"/>
        <v>0.20749999999999999</v>
      </c>
      <c r="K5" s="170">
        <f>H5*I5</f>
        <v>26.485440000000001</v>
      </c>
    </row>
    <row r="6" spans="1:13" ht="33.75" customHeight="1">
      <c r="B6" s="241">
        <v>4</v>
      </c>
      <c r="C6" s="171" t="s">
        <v>174</v>
      </c>
      <c r="D6" s="167">
        <v>384.2</v>
      </c>
      <c r="E6" s="167">
        <v>0.84</v>
      </c>
      <c r="F6" s="167">
        <v>0.25</v>
      </c>
      <c r="G6" s="166" t="s">
        <v>98</v>
      </c>
      <c r="H6" s="172">
        <v>306.73</v>
      </c>
      <c r="I6" s="177">
        <v>9.4E-2</v>
      </c>
      <c r="J6" s="167">
        <f t="shared" si="0"/>
        <v>0.21</v>
      </c>
      <c r="K6" s="170">
        <f>H6*I6</f>
        <v>28.832620000000002</v>
      </c>
    </row>
    <row r="7" spans="1:13" ht="33.75" customHeight="1">
      <c r="B7" s="242">
        <v>5</v>
      </c>
      <c r="C7" s="171" t="s">
        <v>177</v>
      </c>
      <c r="D7" s="167">
        <v>384.2</v>
      </c>
      <c r="E7" s="167">
        <v>0.13</v>
      </c>
      <c r="F7" s="168">
        <v>0.25</v>
      </c>
      <c r="G7" s="166" t="s">
        <v>98</v>
      </c>
      <c r="H7" s="172">
        <v>328.75</v>
      </c>
      <c r="I7" s="177">
        <v>9.4E-2</v>
      </c>
      <c r="J7" s="167">
        <f t="shared" si="0"/>
        <v>3.2500000000000001E-2</v>
      </c>
      <c r="K7" s="170">
        <f>H7*I7</f>
        <v>30.9025</v>
      </c>
    </row>
    <row r="8" spans="1:13" ht="34.5" customHeight="1">
      <c r="B8" s="242">
        <v>6</v>
      </c>
      <c r="C8" s="235" t="s">
        <v>175</v>
      </c>
      <c r="D8" s="167">
        <v>382.8</v>
      </c>
      <c r="E8" s="167">
        <v>0.14000000000000001</v>
      </c>
      <c r="F8" s="168">
        <v>0.25</v>
      </c>
      <c r="G8" s="166" t="s">
        <v>98</v>
      </c>
      <c r="H8" s="172">
        <v>308.8</v>
      </c>
      <c r="I8" s="177">
        <v>9.4E-2</v>
      </c>
      <c r="J8" s="167">
        <f t="shared" si="0"/>
        <v>3.5000000000000003E-2</v>
      </c>
      <c r="K8" s="170">
        <f>H8*I8</f>
        <v>29.027200000000001</v>
      </c>
    </row>
    <row r="9" spans="1:13" ht="35.25" customHeight="1">
      <c r="B9" s="240">
        <v>7</v>
      </c>
      <c r="C9" s="178" t="s">
        <v>178</v>
      </c>
      <c r="D9" s="179">
        <v>831.73</v>
      </c>
      <c r="E9" s="180" t="s">
        <v>165</v>
      </c>
      <c r="F9" s="180">
        <v>0.25</v>
      </c>
      <c r="G9" s="181" t="s">
        <v>98</v>
      </c>
      <c r="H9" s="180" t="s">
        <v>165</v>
      </c>
      <c r="I9" s="182">
        <v>9.4E-2</v>
      </c>
      <c r="J9" s="179" t="s">
        <v>165</v>
      </c>
      <c r="K9" s="183" t="s">
        <v>165</v>
      </c>
    </row>
    <row r="10" spans="1:13" ht="37.5" customHeight="1" thickBot="1">
      <c r="B10" s="243">
        <v>8</v>
      </c>
      <c r="C10" s="249" t="s">
        <v>179</v>
      </c>
      <c r="D10" s="174">
        <v>1043.6300000000001</v>
      </c>
      <c r="E10" s="250">
        <v>26.14</v>
      </c>
      <c r="F10" s="250">
        <v>0.25</v>
      </c>
      <c r="G10" s="173" t="s">
        <v>98</v>
      </c>
      <c r="H10" s="250">
        <v>502.66</v>
      </c>
      <c r="I10" s="251">
        <v>9.4E-2</v>
      </c>
      <c r="J10" s="174">
        <f>E10*F10</f>
        <v>6.5350000000000001</v>
      </c>
      <c r="K10" s="175">
        <f>H10*I10</f>
        <v>47.250040000000006</v>
      </c>
    </row>
    <row r="11" spans="1:13" ht="19.5" customHeight="1" thickBot="1">
      <c r="A11" s="252"/>
      <c r="B11" s="253"/>
      <c r="C11" s="254"/>
      <c r="D11" s="287">
        <f>SUM(D3:D10)</f>
        <v>6903.79</v>
      </c>
      <c r="E11" s="288">
        <f>SUM(E3:E10)</f>
        <v>32.880000000000003</v>
      </c>
      <c r="F11" s="256"/>
      <c r="G11" s="255"/>
      <c r="H11" s="288">
        <f>SUM(H3:H10)</f>
        <v>2832.48</v>
      </c>
      <c r="I11" s="257"/>
      <c r="J11" s="287">
        <f>SUM(J3:J10)</f>
        <v>8.2200000000000006</v>
      </c>
      <c r="K11" s="287">
        <f>SUM(K3:K10)</f>
        <v>266.25311999999997</v>
      </c>
      <c r="L11" s="252"/>
      <c r="M11" s="252"/>
    </row>
    <row r="12" spans="1:13">
      <c r="A12" s="252"/>
      <c r="B12" s="253"/>
      <c r="C12" s="254"/>
      <c r="D12" s="255"/>
      <c r="E12" s="256"/>
      <c r="F12" s="256"/>
      <c r="G12" s="255"/>
      <c r="H12" s="256"/>
      <c r="I12" s="257"/>
      <c r="J12" s="258"/>
      <c r="K12" s="258"/>
      <c r="L12" s="252"/>
      <c r="M12" s="252"/>
    </row>
    <row r="13" spans="1:13">
      <c r="A13" s="252"/>
      <c r="B13" s="253"/>
      <c r="C13" s="254"/>
      <c r="D13" s="258"/>
      <c r="E13" s="256"/>
      <c r="F13" s="256"/>
      <c r="G13" s="255"/>
      <c r="H13" s="256"/>
      <c r="I13" s="257"/>
      <c r="J13" s="258"/>
      <c r="K13" s="258"/>
      <c r="L13" s="252"/>
      <c r="M13" s="252"/>
    </row>
    <row r="14" spans="1:13">
      <c r="A14" s="252"/>
      <c r="B14" s="253"/>
      <c r="C14" s="259"/>
      <c r="D14" s="255"/>
      <c r="E14" s="258"/>
      <c r="F14" s="258"/>
      <c r="G14" s="255"/>
      <c r="H14" s="258"/>
      <c r="I14" s="260"/>
      <c r="J14" s="258"/>
      <c r="K14" s="258"/>
      <c r="L14" s="252"/>
      <c r="M14" s="252"/>
    </row>
    <row r="15" spans="1:13">
      <c r="A15" s="252"/>
      <c r="B15" s="253"/>
      <c r="C15" s="259"/>
      <c r="D15" s="255"/>
      <c r="E15" s="258"/>
      <c r="F15" s="258"/>
      <c r="G15" s="255"/>
      <c r="H15" s="258"/>
      <c r="I15" s="260"/>
      <c r="J15" s="258"/>
      <c r="K15" s="258"/>
      <c r="L15" s="252"/>
      <c r="M15" s="252"/>
    </row>
    <row r="16" spans="1:13">
      <c r="A16" s="252"/>
      <c r="B16" s="253"/>
      <c r="C16" s="254"/>
      <c r="D16" s="255"/>
      <c r="E16" s="261"/>
      <c r="F16" s="261"/>
      <c r="G16" s="255"/>
      <c r="H16" s="261"/>
      <c r="I16" s="262"/>
      <c r="J16" s="258"/>
      <c r="K16" s="258"/>
      <c r="L16" s="252"/>
      <c r="M16" s="252"/>
    </row>
    <row r="17" spans="1:13">
      <c r="A17" s="252"/>
      <c r="B17" s="253"/>
      <c r="C17" s="263"/>
      <c r="D17" s="255"/>
      <c r="E17" s="258"/>
      <c r="F17" s="258"/>
      <c r="G17" s="255"/>
      <c r="H17" s="258"/>
      <c r="I17" s="260"/>
      <c r="J17" s="258"/>
      <c r="K17" s="258"/>
      <c r="L17" s="252"/>
      <c r="M17" s="252"/>
    </row>
    <row r="18" spans="1:13">
      <c r="A18" s="252"/>
      <c r="B18" s="253"/>
      <c r="C18" s="263"/>
      <c r="D18" s="255"/>
      <c r="E18" s="258"/>
      <c r="F18" s="258"/>
      <c r="G18" s="255"/>
      <c r="H18" s="258"/>
      <c r="I18" s="260"/>
      <c r="J18" s="258"/>
      <c r="K18" s="258"/>
      <c r="L18" s="252"/>
      <c r="M18" s="252"/>
    </row>
    <row r="19" spans="1:13">
      <c r="A19" s="252"/>
      <c r="B19" s="253"/>
      <c r="C19" s="263"/>
      <c r="D19" s="255"/>
      <c r="E19" s="258"/>
      <c r="F19" s="258"/>
      <c r="G19" s="255"/>
      <c r="H19" s="258"/>
      <c r="I19" s="260"/>
      <c r="J19" s="258"/>
      <c r="K19" s="258"/>
      <c r="L19" s="252"/>
      <c r="M19" s="252"/>
    </row>
    <row r="20" spans="1:13">
      <c r="A20" s="252"/>
      <c r="B20" s="253"/>
      <c r="C20" s="263"/>
      <c r="D20" s="255"/>
      <c r="E20" s="258"/>
      <c r="F20" s="258"/>
      <c r="G20" s="255"/>
      <c r="H20" s="258"/>
      <c r="I20" s="260"/>
      <c r="J20" s="258"/>
      <c r="K20" s="258"/>
      <c r="L20" s="252"/>
      <c r="M20" s="252"/>
    </row>
    <row r="21" spans="1:13">
      <c r="A21" s="252"/>
      <c r="B21" s="253"/>
      <c r="C21" s="263"/>
      <c r="D21" s="255"/>
      <c r="E21" s="258"/>
      <c r="F21" s="258"/>
      <c r="G21" s="255"/>
      <c r="H21" s="258"/>
      <c r="I21" s="260"/>
      <c r="J21" s="258"/>
      <c r="K21" s="258"/>
      <c r="L21" s="252"/>
      <c r="M21" s="252"/>
    </row>
    <row r="22" spans="1:13">
      <c r="A22" s="252"/>
      <c r="B22" s="253"/>
      <c r="C22" s="263"/>
      <c r="D22" s="255"/>
      <c r="E22" s="258"/>
      <c r="F22" s="258"/>
      <c r="G22" s="255"/>
      <c r="H22" s="258"/>
      <c r="I22" s="260"/>
      <c r="J22" s="258"/>
      <c r="K22" s="258"/>
      <c r="L22" s="252"/>
      <c r="M22" s="252"/>
    </row>
    <row r="23" spans="1:13">
      <c r="A23" s="252"/>
      <c r="B23" s="253"/>
      <c r="C23" s="254"/>
      <c r="D23" s="258"/>
      <c r="E23" s="256"/>
      <c r="F23" s="256"/>
      <c r="G23" s="255"/>
      <c r="H23" s="256"/>
      <c r="I23" s="257"/>
      <c r="J23" s="258"/>
      <c r="K23" s="258"/>
      <c r="L23" s="252"/>
      <c r="M23" s="252"/>
    </row>
    <row r="24" spans="1:13">
      <c r="A24" s="252"/>
      <c r="B24" s="253"/>
      <c r="C24" s="263"/>
      <c r="D24" s="255"/>
      <c r="E24" s="258"/>
      <c r="F24" s="258"/>
      <c r="G24" s="255"/>
      <c r="H24" s="258"/>
      <c r="I24" s="260"/>
      <c r="J24" s="258"/>
      <c r="K24" s="258"/>
      <c r="L24" s="252"/>
      <c r="M24" s="252"/>
    </row>
    <row r="25" spans="1:13">
      <c r="A25" s="252"/>
      <c r="B25" s="253"/>
      <c r="C25" s="254"/>
      <c r="D25" s="258"/>
      <c r="E25" s="256"/>
      <c r="F25" s="256"/>
      <c r="G25" s="255"/>
      <c r="H25" s="256"/>
      <c r="I25" s="257"/>
      <c r="J25" s="258"/>
      <c r="K25" s="258"/>
      <c r="L25" s="252"/>
      <c r="M25" s="252"/>
    </row>
    <row r="26" spans="1:13">
      <c r="A26" s="252"/>
      <c r="B26" s="253"/>
      <c r="C26" s="264"/>
      <c r="D26" s="255"/>
      <c r="E26" s="256"/>
      <c r="F26" s="256"/>
      <c r="G26" s="255"/>
      <c r="H26" s="256"/>
      <c r="I26" s="257"/>
      <c r="J26" s="258"/>
      <c r="K26" s="258"/>
      <c r="L26" s="252"/>
      <c r="M26" s="252"/>
    </row>
    <row r="27" spans="1:13">
      <c r="A27" s="252"/>
      <c r="B27" s="253"/>
      <c r="C27" s="254"/>
      <c r="D27" s="258"/>
      <c r="E27" s="256"/>
      <c r="F27" s="256"/>
      <c r="G27" s="255"/>
      <c r="H27" s="256"/>
      <c r="I27" s="257"/>
      <c r="J27" s="258"/>
      <c r="K27" s="258"/>
      <c r="L27" s="252"/>
      <c r="M27" s="252"/>
    </row>
    <row r="28" spans="1:13">
      <c r="A28" s="252"/>
      <c r="B28" s="253"/>
      <c r="C28" s="254"/>
      <c r="D28" s="258"/>
      <c r="E28" s="256"/>
      <c r="F28" s="256"/>
      <c r="G28" s="255"/>
      <c r="H28" s="256"/>
      <c r="I28" s="257"/>
      <c r="J28" s="258"/>
      <c r="K28" s="258"/>
      <c r="L28" s="252"/>
      <c r="M28" s="252"/>
    </row>
    <row r="29" spans="1:13">
      <c r="A29" s="252"/>
      <c r="B29" s="253"/>
      <c r="C29" s="254"/>
      <c r="D29" s="258"/>
      <c r="E29" s="256"/>
      <c r="F29" s="256"/>
      <c r="G29" s="255"/>
      <c r="H29" s="256"/>
      <c r="I29" s="257"/>
      <c r="J29" s="258"/>
      <c r="K29" s="258"/>
      <c r="L29" s="252"/>
      <c r="M29" s="252"/>
    </row>
    <row r="30" spans="1:13">
      <c r="A30" s="252"/>
      <c r="B30" s="253"/>
      <c r="C30" s="254"/>
      <c r="D30" s="258"/>
      <c r="E30" s="256"/>
      <c r="F30" s="256"/>
      <c r="G30" s="255"/>
      <c r="H30" s="256"/>
      <c r="I30" s="257"/>
      <c r="J30" s="258"/>
      <c r="K30" s="258"/>
      <c r="L30" s="252"/>
      <c r="M30" s="252"/>
    </row>
    <row r="31" spans="1:13">
      <c r="A31" s="252"/>
      <c r="B31" s="253"/>
      <c r="C31" s="264"/>
      <c r="D31" s="255"/>
      <c r="E31" s="256"/>
      <c r="F31" s="256"/>
      <c r="G31" s="255"/>
      <c r="H31" s="256"/>
      <c r="I31" s="257"/>
      <c r="J31" s="258"/>
      <c r="K31" s="258"/>
      <c r="L31" s="252"/>
      <c r="M31" s="252"/>
    </row>
    <row r="32" spans="1:13">
      <c r="A32" s="252"/>
      <c r="B32" s="253"/>
      <c r="C32" s="264"/>
      <c r="D32" s="255"/>
      <c r="E32" s="256"/>
      <c r="F32" s="256"/>
      <c r="G32" s="255"/>
      <c r="H32" s="256"/>
      <c r="I32" s="257"/>
      <c r="J32" s="258"/>
      <c r="K32" s="258"/>
      <c r="L32" s="252"/>
      <c r="M32" s="252"/>
    </row>
    <row r="33" spans="1:13">
      <c r="A33" s="252"/>
      <c r="B33" s="253"/>
      <c r="C33" s="264"/>
      <c r="D33" s="255"/>
      <c r="E33" s="256"/>
      <c r="F33" s="256"/>
      <c r="G33" s="255"/>
      <c r="H33" s="256"/>
      <c r="I33" s="257"/>
      <c r="J33" s="258"/>
      <c r="K33" s="258"/>
      <c r="L33" s="252"/>
      <c r="M33" s="252"/>
    </row>
    <row r="34" spans="1:13">
      <c r="A34" s="252"/>
      <c r="B34" s="253"/>
      <c r="C34" s="254"/>
      <c r="D34" s="258"/>
      <c r="E34" s="256"/>
      <c r="F34" s="256"/>
      <c r="G34" s="255"/>
      <c r="H34" s="256"/>
      <c r="I34" s="257"/>
      <c r="J34" s="258"/>
      <c r="K34" s="258"/>
      <c r="L34" s="252"/>
      <c r="M34" s="252"/>
    </row>
    <row r="35" spans="1:13">
      <c r="A35" s="252"/>
      <c r="B35" s="253"/>
      <c r="C35" s="254"/>
      <c r="D35" s="258"/>
      <c r="E35" s="256"/>
      <c r="F35" s="256"/>
      <c r="G35" s="255"/>
      <c r="H35" s="256"/>
      <c r="I35" s="257"/>
      <c r="J35" s="258"/>
      <c r="K35" s="258"/>
      <c r="L35" s="252"/>
      <c r="M35" s="252"/>
    </row>
    <row r="36" spans="1:13">
      <c r="A36" s="252"/>
      <c r="B36" s="253"/>
      <c r="C36" s="254"/>
      <c r="D36" s="258"/>
      <c r="E36" s="256"/>
      <c r="F36" s="256"/>
      <c r="G36" s="255"/>
      <c r="H36" s="256"/>
      <c r="I36" s="257"/>
      <c r="J36" s="258"/>
      <c r="K36" s="258"/>
      <c r="L36" s="252"/>
      <c r="M36" s="252"/>
    </row>
    <row r="37" spans="1:13">
      <c r="A37" s="252"/>
      <c r="B37" s="253"/>
      <c r="C37" s="254"/>
      <c r="D37" s="258"/>
      <c r="E37" s="256"/>
      <c r="F37" s="256"/>
      <c r="G37" s="255"/>
      <c r="H37" s="256"/>
      <c r="I37" s="257"/>
      <c r="J37" s="258"/>
      <c r="K37" s="258"/>
      <c r="L37" s="252"/>
      <c r="M37" s="252"/>
    </row>
    <row r="38" spans="1:13">
      <c r="A38" s="252"/>
      <c r="B38" s="253"/>
      <c r="C38" s="254"/>
      <c r="D38" s="258"/>
      <c r="E38" s="256"/>
      <c r="F38" s="256"/>
      <c r="G38" s="255"/>
      <c r="H38" s="256"/>
      <c r="I38" s="257"/>
      <c r="J38" s="258"/>
      <c r="K38" s="258"/>
      <c r="L38" s="252"/>
      <c r="M38" s="252"/>
    </row>
    <row r="39" spans="1:13">
      <c r="A39" s="252"/>
      <c r="B39" s="253"/>
      <c r="C39" s="265"/>
      <c r="D39" s="255"/>
      <c r="E39" s="258"/>
      <c r="F39" s="258"/>
      <c r="G39" s="255"/>
      <c r="H39" s="258"/>
      <c r="I39" s="260"/>
      <c r="J39" s="258"/>
      <c r="K39" s="258"/>
      <c r="L39" s="252"/>
      <c r="M39" s="252"/>
    </row>
    <row r="40" spans="1:13">
      <c r="A40" s="252"/>
      <c r="B40" s="253"/>
      <c r="C40" s="254"/>
      <c r="D40" s="258"/>
      <c r="E40" s="256"/>
      <c r="F40" s="256"/>
      <c r="G40" s="255"/>
      <c r="H40" s="256"/>
      <c r="I40" s="257"/>
      <c r="J40" s="258"/>
      <c r="K40" s="258"/>
      <c r="L40" s="252"/>
      <c r="M40" s="252"/>
    </row>
    <row r="41" spans="1:13">
      <c r="A41" s="252"/>
      <c r="B41" s="253"/>
      <c r="C41" s="254"/>
      <c r="D41" s="258"/>
      <c r="E41" s="256"/>
      <c r="F41" s="256"/>
      <c r="G41" s="255"/>
      <c r="H41" s="256"/>
      <c r="I41" s="257"/>
      <c r="J41" s="258"/>
      <c r="K41" s="258"/>
      <c r="L41" s="252"/>
      <c r="M41" s="252"/>
    </row>
    <row r="42" spans="1:13">
      <c r="A42" s="252"/>
      <c r="B42" s="253"/>
      <c r="C42" s="254"/>
      <c r="D42" s="258"/>
      <c r="E42" s="256"/>
      <c r="F42" s="256"/>
      <c r="G42" s="255"/>
      <c r="H42" s="256"/>
      <c r="I42" s="257"/>
      <c r="J42" s="258"/>
      <c r="K42" s="258"/>
      <c r="L42" s="252"/>
      <c r="M42" s="252"/>
    </row>
    <row r="43" spans="1:13">
      <c r="A43" s="252"/>
      <c r="B43" s="253"/>
      <c r="C43" s="254"/>
      <c r="D43" s="258"/>
      <c r="E43" s="256"/>
      <c r="F43" s="256"/>
      <c r="G43" s="255"/>
      <c r="H43" s="256"/>
      <c r="I43" s="257"/>
      <c r="J43" s="258"/>
      <c r="K43" s="258"/>
      <c r="L43" s="252"/>
      <c r="M43" s="252"/>
    </row>
    <row r="44" spans="1:13">
      <c r="A44" s="252"/>
      <c r="B44" s="253"/>
      <c r="C44" s="254"/>
      <c r="D44" s="255"/>
      <c r="E44" s="258"/>
      <c r="F44" s="258"/>
      <c r="G44" s="255"/>
      <c r="H44" s="255"/>
      <c r="I44" s="255"/>
      <c r="J44" s="258"/>
      <c r="K44" s="258"/>
      <c r="L44" s="252"/>
      <c r="M44" s="252"/>
    </row>
    <row r="45" spans="1:13">
      <c r="A45" s="252"/>
      <c r="B45" s="253"/>
      <c r="C45" s="259"/>
      <c r="D45" s="255"/>
      <c r="E45" s="258"/>
      <c r="F45" s="258"/>
      <c r="G45" s="255"/>
      <c r="H45" s="258"/>
      <c r="I45" s="260"/>
      <c r="J45" s="258"/>
      <c r="K45" s="258"/>
      <c r="L45" s="252"/>
      <c r="M45" s="252"/>
    </row>
    <row r="46" spans="1:13">
      <c r="A46" s="252"/>
      <c r="B46" s="253"/>
      <c r="C46" s="254"/>
      <c r="D46" s="258"/>
      <c r="E46" s="256"/>
      <c r="F46" s="256"/>
      <c r="G46" s="255"/>
      <c r="H46" s="256"/>
      <c r="I46" s="257"/>
      <c r="J46" s="258"/>
      <c r="K46" s="258"/>
      <c r="L46" s="252"/>
      <c r="M46" s="252"/>
    </row>
    <row r="47" spans="1:13">
      <c r="A47" s="252"/>
      <c r="B47" s="253"/>
      <c r="C47" s="254"/>
      <c r="D47" s="258"/>
      <c r="E47" s="256"/>
      <c r="F47" s="256"/>
      <c r="G47" s="255"/>
      <c r="H47" s="256"/>
      <c r="I47" s="257"/>
      <c r="J47" s="258"/>
      <c r="K47" s="258"/>
      <c r="L47" s="252"/>
      <c r="M47" s="252"/>
    </row>
    <row r="48" spans="1:13">
      <c r="A48" s="252"/>
      <c r="B48" s="253"/>
      <c r="C48" s="254"/>
      <c r="D48" s="255"/>
      <c r="E48" s="261"/>
      <c r="F48" s="261"/>
      <c r="G48" s="255"/>
      <c r="H48" s="261"/>
      <c r="I48" s="262"/>
      <c r="J48" s="258"/>
      <c r="K48" s="258"/>
      <c r="L48" s="252"/>
      <c r="M48" s="252"/>
    </row>
    <row r="49" spans="1:13">
      <c r="A49" s="252"/>
      <c r="B49" s="253"/>
      <c r="C49" s="254"/>
      <c r="D49" s="258"/>
      <c r="E49" s="256"/>
      <c r="F49" s="256"/>
      <c r="G49" s="255"/>
      <c r="H49" s="256"/>
      <c r="I49" s="257"/>
      <c r="J49" s="258"/>
      <c r="K49" s="258"/>
      <c r="L49" s="252"/>
      <c r="M49" s="252"/>
    </row>
    <row r="50" spans="1:13">
      <c r="A50" s="252"/>
      <c r="B50" s="253"/>
      <c r="C50" s="254"/>
      <c r="D50" s="258"/>
      <c r="E50" s="256"/>
      <c r="F50" s="256"/>
      <c r="G50" s="255"/>
      <c r="H50" s="256"/>
      <c r="I50" s="257"/>
      <c r="J50" s="258"/>
      <c r="K50" s="258"/>
      <c r="L50" s="252"/>
      <c r="M50" s="252"/>
    </row>
    <row r="51" spans="1:13">
      <c r="A51" s="252"/>
      <c r="B51" s="253"/>
      <c r="C51" s="254"/>
      <c r="D51" s="258"/>
      <c r="E51" s="256"/>
      <c r="F51" s="256"/>
      <c r="G51" s="255"/>
      <c r="H51" s="256"/>
      <c r="I51" s="257"/>
      <c r="J51" s="258"/>
      <c r="K51" s="258"/>
      <c r="L51" s="252"/>
      <c r="M51" s="252"/>
    </row>
    <row r="52" spans="1:13">
      <c r="A52" s="252"/>
      <c r="B52" s="253"/>
      <c r="C52" s="259"/>
      <c r="D52" s="258"/>
      <c r="E52" s="258"/>
      <c r="F52" s="258"/>
      <c r="G52" s="255"/>
      <c r="H52" s="258"/>
      <c r="I52" s="255"/>
      <c r="J52" s="258"/>
      <c r="K52" s="258"/>
      <c r="L52" s="252"/>
      <c r="M52" s="252"/>
    </row>
    <row r="53" spans="1:13">
      <c r="A53" s="252"/>
      <c r="B53" s="253"/>
      <c r="C53" s="254"/>
      <c r="D53" s="258"/>
      <c r="E53" s="256"/>
      <c r="F53" s="256"/>
      <c r="G53" s="255"/>
      <c r="H53" s="256"/>
      <c r="I53" s="257"/>
      <c r="J53" s="258"/>
      <c r="K53" s="258"/>
      <c r="L53" s="252"/>
      <c r="M53" s="252"/>
    </row>
    <row r="54" spans="1:13">
      <c r="A54" s="252"/>
      <c r="B54" s="253"/>
      <c r="C54" s="254"/>
      <c r="D54" s="258"/>
      <c r="E54" s="256"/>
      <c r="F54" s="256"/>
      <c r="G54" s="255"/>
      <c r="H54" s="256"/>
      <c r="I54" s="257"/>
      <c r="J54" s="258"/>
      <c r="K54" s="258"/>
      <c r="L54" s="252"/>
      <c r="M54" s="252"/>
    </row>
    <row r="55" spans="1:13">
      <c r="A55" s="252"/>
      <c r="B55" s="253"/>
      <c r="C55" s="254"/>
      <c r="D55" s="258"/>
      <c r="E55" s="256"/>
      <c r="F55" s="256"/>
      <c r="G55" s="255"/>
      <c r="H55" s="256"/>
      <c r="I55" s="257"/>
      <c r="J55" s="258"/>
      <c r="K55" s="258"/>
      <c r="L55" s="252"/>
      <c r="M55" s="252"/>
    </row>
    <row r="56" spans="1:13">
      <c r="A56" s="252"/>
      <c r="B56" s="253"/>
      <c r="C56" s="263"/>
      <c r="D56" s="255"/>
      <c r="E56" s="258"/>
      <c r="F56" s="258"/>
      <c r="G56" s="255"/>
      <c r="H56" s="258"/>
      <c r="I56" s="260"/>
      <c r="J56" s="258"/>
      <c r="K56" s="258"/>
      <c r="L56" s="252"/>
      <c r="M56" s="252"/>
    </row>
    <row r="57" spans="1:13">
      <c r="A57" s="252"/>
      <c r="B57" s="253"/>
      <c r="C57" s="254"/>
      <c r="D57" s="258"/>
      <c r="E57" s="256"/>
      <c r="F57" s="256"/>
      <c r="G57" s="255"/>
      <c r="H57" s="256"/>
      <c r="I57" s="257"/>
      <c r="J57" s="258"/>
      <c r="K57" s="258"/>
      <c r="L57" s="252"/>
      <c r="M57" s="252"/>
    </row>
    <row r="58" spans="1:13">
      <c r="A58" s="252"/>
      <c r="B58" s="253"/>
      <c r="C58" s="254"/>
      <c r="D58" s="258"/>
      <c r="E58" s="256"/>
      <c r="F58" s="256"/>
      <c r="G58" s="255"/>
      <c r="H58" s="256"/>
      <c r="I58" s="257"/>
      <c r="J58" s="258"/>
      <c r="K58" s="258"/>
      <c r="L58" s="252"/>
      <c r="M58" s="252"/>
    </row>
    <row r="59" spans="1:13">
      <c r="A59" s="252"/>
      <c r="B59" s="253"/>
      <c r="C59" s="254"/>
      <c r="D59" s="255"/>
      <c r="E59" s="256"/>
      <c r="F59" s="256"/>
      <c r="G59" s="255"/>
      <c r="H59" s="256"/>
      <c r="I59" s="257"/>
      <c r="J59" s="258"/>
      <c r="K59" s="258"/>
      <c r="L59" s="252"/>
      <c r="M59" s="252"/>
    </row>
    <row r="60" spans="1:13">
      <c r="A60" s="252"/>
      <c r="B60" s="253"/>
      <c r="C60" s="254"/>
      <c r="D60" s="258"/>
      <c r="E60" s="256"/>
      <c r="F60" s="256"/>
      <c r="G60" s="255"/>
      <c r="H60" s="256"/>
      <c r="I60" s="257"/>
      <c r="J60" s="258"/>
      <c r="K60" s="258"/>
      <c r="L60" s="252"/>
      <c r="M60" s="252"/>
    </row>
    <row r="61" spans="1:13">
      <c r="A61" s="252"/>
      <c r="B61" s="253"/>
      <c r="C61" s="254"/>
      <c r="D61" s="258"/>
      <c r="E61" s="256"/>
      <c r="F61" s="256"/>
      <c r="G61" s="255"/>
      <c r="H61" s="256"/>
      <c r="I61" s="257"/>
      <c r="J61" s="258"/>
      <c r="K61" s="258"/>
      <c r="L61" s="252"/>
      <c r="M61" s="252"/>
    </row>
    <row r="62" spans="1:13">
      <c r="A62" s="252"/>
      <c r="B62" s="253"/>
      <c r="C62" s="263"/>
      <c r="D62" s="255"/>
      <c r="E62" s="258"/>
      <c r="F62" s="255"/>
      <c r="G62" s="259"/>
      <c r="H62" s="258"/>
      <c r="I62" s="260"/>
      <c r="J62" s="258"/>
      <c r="K62" s="258"/>
      <c r="L62" s="252"/>
      <c r="M62" s="252"/>
    </row>
    <row r="63" spans="1:13">
      <c r="A63" s="252"/>
      <c r="B63" s="253"/>
      <c r="C63" s="263"/>
      <c r="D63" s="255"/>
      <c r="E63" s="258"/>
      <c r="F63" s="255"/>
      <c r="G63" s="255"/>
      <c r="H63" s="258"/>
      <c r="I63" s="260"/>
      <c r="J63" s="258"/>
      <c r="K63" s="258"/>
      <c r="L63" s="252"/>
      <c r="M63" s="252"/>
    </row>
    <row r="64" spans="1:13">
      <c r="A64" s="252"/>
      <c r="B64" s="253"/>
      <c r="C64" s="263"/>
      <c r="D64" s="255"/>
      <c r="E64" s="258"/>
      <c r="F64" s="258"/>
      <c r="G64" s="255"/>
      <c r="H64" s="258"/>
      <c r="I64" s="260"/>
      <c r="J64" s="258"/>
      <c r="K64" s="258"/>
      <c r="L64" s="252"/>
      <c r="M64" s="252"/>
    </row>
    <row r="65" spans="1:13">
      <c r="A65" s="252"/>
      <c r="B65" s="253"/>
      <c r="C65" s="263"/>
      <c r="D65" s="255"/>
      <c r="E65" s="258"/>
      <c r="F65" s="255"/>
      <c r="G65" s="259"/>
      <c r="H65" s="258"/>
      <c r="I65" s="260"/>
      <c r="J65" s="258"/>
      <c r="K65" s="258"/>
      <c r="L65" s="252"/>
      <c r="M65" s="252"/>
    </row>
    <row r="66" spans="1:13">
      <c r="A66" s="252"/>
      <c r="B66" s="253"/>
      <c r="C66" s="263"/>
      <c r="D66" s="255"/>
      <c r="E66" s="258"/>
      <c r="F66" s="255"/>
      <c r="G66" s="255"/>
      <c r="H66" s="258"/>
      <c r="I66" s="260"/>
      <c r="J66" s="258"/>
      <c r="K66" s="258"/>
      <c r="L66" s="252"/>
      <c r="M66" s="252"/>
    </row>
    <row r="67" spans="1:13">
      <c r="A67" s="252"/>
      <c r="B67" s="252"/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M67" s="252"/>
    </row>
    <row r="68" spans="1:13">
      <c r="A68" s="252"/>
      <c r="B68" s="252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</row>
    <row r="69" spans="1:13">
      <c r="A69" s="252"/>
      <c r="B69" s="252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</row>
    <row r="70" spans="1:13">
      <c r="A70" s="252"/>
      <c r="B70" s="252"/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</row>
  </sheetData>
  <pageMargins left="0.7" right="0.7" top="0.75" bottom="0.75" header="0.3" footer="0.3"/>
  <pageSetup paperSize="9" scale="5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M50"/>
  <sheetViews>
    <sheetView showGridLines="0" view="pageBreakPreview" zoomScaleNormal="100" zoomScaleSheetLayoutView="100" workbookViewId="0">
      <selection activeCell="N5" sqref="N5"/>
    </sheetView>
  </sheetViews>
  <sheetFormatPr defaultRowHeight="15"/>
  <cols>
    <col min="1" max="1" width="2.5" style="13" customWidth="1"/>
    <col min="2" max="2" width="23" style="13" customWidth="1"/>
    <col min="3" max="3" width="13.75" style="13" customWidth="1"/>
    <col min="4" max="4" width="13.75" style="907" customWidth="1"/>
    <col min="5" max="5" width="14.5" style="13" customWidth="1"/>
    <col min="6" max="6" width="4.125" style="13" customWidth="1"/>
    <col min="7" max="7" width="2.5" style="13" customWidth="1"/>
    <col min="8" max="8" width="25.625" style="13" customWidth="1"/>
    <col min="9" max="10" width="12.5" style="13" customWidth="1"/>
    <col min="11" max="11" width="14.875" style="13" customWidth="1"/>
    <col min="12" max="12" width="0.25" style="13" hidden="1" customWidth="1"/>
    <col min="13" max="13" width="12.5" style="13" customWidth="1"/>
    <col min="14" max="14" width="13.5" style="13" bestFit="1" customWidth="1"/>
    <col min="15" max="15" width="9" style="13" customWidth="1"/>
    <col min="16" max="16" width="11.625" style="13" customWidth="1"/>
    <col min="17" max="17" width="9" style="13" customWidth="1"/>
    <col min="18" max="20" width="11.625" style="13" customWidth="1"/>
    <col min="21" max="21" width="9" style="13" customWidth="1"/>
    <col min="22" max="16384" width="9" style="13"/>
  </cols>
  <sheetData>
    <row r="1" spans="2:13" s="20" customFormat="1" ht="15" customHeight="1" thickBot="1">
      <c r="D1" s="900"/>
    </row>
    <row r="2" spans="2:13" s="20" customFormat="1" ht="19.5" thickBot="1">
      <c r="B2" s="1132" t="s">
        <v>276</v>
      </c>
      <c r="C2" s="1133"/>
      <c r="D2" s="1133"/>
      <c r="E2" s="1133"/>
      <c r="F2" s="1133"/>
      <c r="G2" s="1133"/>
      <c r="H2" s="1133"/>
      <c r="I2" s="1133"/>
      <c r="J2" s="1133"/>
      <c r="K2" s="1133"/>
      <c r="L2" s="22"/>
      <c r="M2" s="23"/>
    </row>
    <row r="3" spans="2:13" s="163" customFormat="1" ht="15.75" customHeight="1" thickBot="1">
      <c r="D3" s="901"/>
      <c r="I3" s="559"/>
      <c r="J3" s="559"/>
    </row>
    <row r="4" spans="2:13" ht="15.75" thickBot="1">
      <c r="B4" s="1129" t="s">
        <v>121</v>
      </c>
      <c r="C4" s="1130"/>
      <c r="D4" s="1131"/>
      <c r="E4" s="142"/>
      <c r="F4" s="142"/>
      <c r="H4" s="164" t="s">
        <v>125</v>
      </c>
      <c r="I4" s="141"/>
      <c r="J4" s="141"/>
      <c r="K4" s="142"/>
      <c r="L4" s="142"/>
      <c r="M4" s="142"/>
    </row>
    <row r="5" spans="2:13" ht="30">
      <c r="B5" s="144"/>
      <c r="C5" s="553">
        <v>2014</v>
      </c>
      <c r="D5" s="902" t="s">
        <v>479</v>
      </c>
      <c r="E5" s="552" t="s">
        <v>166</v>
      </c>
      <c r="H5" s="543"/>
      <c r="I5" s="890">
        <f>C5</f>
        <v>2014</v>
      </c>
      <c r="J5" s="911" t="s">
        <v>479</v>
      </c>
      <c r="K5" s="552" t="s">
        <v>166</v>
      </c>
      <c r="L5" s="595"/>
    </row>
    <row r="6" spans="2:13">
      <c r="B6" s="145" t="s">
        <v>122</v>
      </c>
      <c r="C6" s="554">
        <f>'En. elektryczna'!E16+Oświetlenie!I7+'Obiekty publiczne'!J13</f>
        <v>122782.09451200001</v>
      </c>
      <c r="D6" s="903">
        <f>Oświetlenie!G41+'Ob pub. inwent. kontrolna'!M12+'En. elektryczna'!E23</f>
        <v>139161.47756</v>
      </c>
      <c r="E6" s="596">
        <f>'En. elektryczna'!E30+Oświetlenie!I7+'Obiekty publiczne'!J13</f>
        <v>143565.14888469031</v>
      </c>
      <c r="H6" s="544" t="s">
        <v>293</v>
      </c>
      <c r="I6" s="891">
        <f>Ciepło!J15+Ciepło!J17+'En. elektryczna'!E15+Gaz!I13+Ciepło!J47</f>
        <v>148135.61699163509</v>
      </c>
      <c r="J6" s="912">
        <f>Ciepło!J54+Ciepło!J23+Ciepło!J25+'En. elektryczna'!E22+Gaz!I20</f>
        <v>159153.71165454914</v>
      </c>
      <c r="K6" s="596">
        <f>Ciepło!I61+Ciepło!J31+Ciepło!J33+'En. elektryczna'!E29+Gaz!H27</f>
        <v>164239.67868915523</v>
      </c>
      <c r="L6" s="601"/>
    </row>
    <row r="7" spans="2:13">
      <c r="B7" s="597" t="s">
        <v>7</v>
      </c>
      <c r="C7" s="554">
        <f>Gaz!I16</f>
        <v>52501.987999999998</v>
      </c>
      <c r="D7" s="903">
        <f>Gaz!I23</f>
        <v>53921.774126174714</v>
      </c>
      <c r="E7" s="596">
        <f>Gaz!H30</f>
        <v>57645.905185923089</v>
      </c>
      <c r="H7" s="544" t="s">
        <v>38</v>
      </c>
      <c r="I7" s="891">
        <f>'En. elektryczna'!E13+Gaz!I14+Ciepło!J46</f>
        <v>117932.47669</v>
      </c>
      <c r="J7" s="912">
        <f>'En. elektryczna'!E20+Gaz!I21+Ciepło!J53</f>
        <v>56240.912670530488</v>
      </c>
      <c r="K7" s="596">
        <f>Ciepło!I60+'En. elektryczna'!E27+Gaz!H28</f>
        <v>134348.13836714218</v>
      </c>
      <c r="L7" s="601"/>
    </row>
    <row r="8" spans="2:13">
      <c r="B8" s="145" t="s">
        <v>123</v>
      </c>
      <c r="C8" s="554">
        <f>Tranzyt!D65</f>
        <v>140388.41117916428</v>
      </c>
      <c r="D8" s="903">
        <f>'Ruch lokalny'!K87+'Ruch lokalny'!K88+'Ruch lokalny'!K89</f>
        <v>120315.75557933198</v>
      </c>
      <c r="E8" s="596">
        <f>Tranzyt!E65</f>
        <v>135156.18303165952</v>
      </c>
      <c r="F8" s="297"/>
      <c r="H8" s="544" t="s">
        <v>126</v>
      </c>
      <c r="I8" s="891">
        <f>'En. elektryczna'!E14+Gaz!I15+Ciepło!J49</f>
        <v>20176.54954</v>
      </c>
      <c r="J8" s="912">
        <f>'En. elektryczna'!E21+Gaz!I22+Ciepło!J56</f>
        <v>89636.30845902265</v>
      </c>
      <c r="K8" s="596">
        <f>'En. elektryczna'!E28+Gaz!H29+Ciepło!I63</f>
        <v>22843.03314204112</v>
      </c>
      <c r="L8" s="601"/>
    </row>
    <row r="9" spans="2:13">
      <c r="B9" s="145" t="s">
        <v>124</v>
      </c>
      <c r="C9" s="554">
        <f>Ciepło!J15+Ciepło!J17</f>
        <v>65702.4658816351</v>
      </c>
      <c r="D9" s="903">
        <f>Ciepło!J23+Ciepło!J25</f>
        <v>67466.041427291086</v>
      </c>
      <c r="E9" s="596">
        <f>Ciepło!J31+Ciepło!J33</f>
        <v>71091.939630705165</v>
      </c>
      <c r="H9" s="544" t="s">
        <v>127</v>
      </c>
      <c r="I9" s="891">
        <f>C8</f>
        <v>140388.41117916428</v>
      </c>
      <c r="J9" s="912">
        <f>'Ruch lokalny'!K87+'Ruch lokalny'!K88+'Ruch lokalny'!K89</f>
        <v>120315.75557933198</v>
      </c>
      <c r="K9" s="596">
        <f>E8</f>
        <v>135156.18303165952</v>
      </c>
      <c r="L9" s="601"/>
    </row>
    <row r="10" spans="2:13" ht="15.75" thickBot="1">
      <c r="B10" s="598" t="s">
        <v>98</v>
      </c>
      <c r="C10" s="590">
        <f>Ciepło!J50</f>
        <v>51120.468380000006</v>
      </c>
      <c r="D10" s="904">
        <f>Ciepło!J57</f>
        <v>50797.131560819558</v>
      </c>
      <c r="E10" s="599">
        <f>Ciepło!I64</f>
        <v>55313.802739999999</v>
      </c>
      <c r="H10" s="544" t="s">
        <v>298</v>
      </c>
      <c r="I10" s="891">
        <f>Oświetlenie!I7</f>
        <v>900.55672000000004</v>
      </c>
      <c r="J10" s="912">
        <f>Oświetlenie!G41</f>
        <v>1415.77072</v>
      </c>
      <c r="K10" s="596">
        <f>Oświetlenie!I7</f>
        <v>900.55672000000004</v>
      </c>
      <c r="L10" s="601"/>
    </row>
    <row r="11" spans="2:13" ht="15.75" thickBot="1">
      <c r="B11" s="591" t="s">
        <v>13</v>
      </c>
      <c r="C11" s="592">
        <f>SUM(C6:C10)</f>
        <v>432495.42795279936</v>
      </c>
      <c r="D11" s="905">
        <f>SUM(D6:D10)</f>
        <v>431662.18025361735</v>
      </c>
      <c r="E11" s="600">
        <f>SUM(E6:E10)</f>
        <v>462772.9794729781</v>
      </c>
      <c r="H11" s="545" t="s">
        <v>272</v>
      </c>
      <c r="I11" s="892">
        <f>Ciepło!J48+'Obiekty publiczne'!J13</f>
        <v>4961.8168320000004</v>
      </c>
      <c r="J11" s="913">
        <f>'Ob pub. inwent. kontrolna'!M12+Ciepło!J55</f>
        <v>4899.7211701831056</v>
      </c>
      <c r="K11" s="603">
        <f>Ciepło!I62+'Obiekty publiczne'!J13</f>
        <v>5285.38952298</v>
      </c>
      <c r="L11" s="601"/>
    </row>
    <row r="12" spans="2:13" ht="15.75" thickBot="1">
      <c r="B12" s="588"/>
      <c r="C12" s="589"/>
      <c r="D12" s="906"/>
      <c r="E12" s="589"/>
      <c r="F12" s="297"/>
      <c r="H12" s="92" t="s">
        <v>13</v>
      </c>
      <c r="I12" s="909">
        <f>SUM(I6:I11)</f>
        <v>432495.42795279931</v>
      </c>
      <c r="J12" s="919">
        <f>SUM(J6:J11)</f>
        <v>431662.18025361735</v>
      </c>
      <c r="K12" s="910">
        <f>SUM(K6:K11)</f>
        <v>462772.9794729781</v>
      </c>
      <c r="L12" s="602"/>
    </row>
    <row r="13" spans="2:13" ht="15" customHeight="1">
      <c r="H13" s="593"/>
      <c r="I13" s="594"/>
      <c r="J13" s="594"/>
      <c r="K13" s="594"/>
      <c r="L13" s="594"/>
    </row>
    <row r="14" spans="2:13">
      <c r="F14" s="297"/>
    </row>
    <row r="15" spans="2:13">
      <c r="H15" s="143"/>
      <c r="I15" s="510"/>
      <c r="J15" s="510"/>
      <c r="K15" s="510"/>
      <c r="L15" s="510"/>
    </row>
    <row r="16" spans="2:13">
      <c r="H16" s="548"/>
      <c r="I16" s="547"/>
      <c r="J16" s="547"/>
      <c r="K16" s="547"/>
      <c r="L16" s="548"/>
      <c r="M16" s="549"/>
    </row>
    <row r="17" spans="2:13">
      <c r="H17" s="548"/>
      <c r="I17" s="550"/>
      <c r="J17" s="550"/>
      <c r="K17" s="551"/>
      <c r="L17" s="538"/>
      <c r="M17" s="538"/>
    </row>
    <row r="18" spans="2:13">
      <c r="H18" s="548"/>
      <c r="I18" s="550"/>
      <c r="J18" s="550"/>
      <c r="K18" s="551"/>
      <c r="L18" s="196"/>
      <c r="M18" s="196"/>
    </row>
    <row r="19" spans="2:13">
      <c r="M19" s="142"/>
    </row>
    <row r="20" spans="2:13">
      <c r="H20" s="1126"/>
      <c r="I20" s="1126"/>
      <c r="J20" s="610"/>
      <c r="K20" s="549"/>
      <c r="L20" s="142"/>
      <c r="M20" s="142"/>
    </row>
    <row r="21" spans="2:13" ht="60.75" customHeight="1">
      <c r="H21" s="605"/>
      <c r="I21" s="606"/>
      <c r="J21" s="606"/>
      <c r="K21" s="606"/>
      <c r="L21" s="595"/>
    </row>
    <row r="22" spans="2:13">
      <c r="H22" s="593"/>
      <c r="I22" s="601"/>
      <c r="J22" s="601"/>
      <c r="K22" s="601"/>
      <c r="L22" s="601"/>
    </row>
    <row r="23" spans="2:13">
      <c r="H23" s="593"/>
      <c r="I23" s="604"/>
      <c r="J23" s="604"/>
      <c r="K23" s="604"/>
      <c r="L23" s="604"/>
    </row>
    <row r="24" spans="2:13">
      <c r="H24" s="593"/>
      <c r="I24" s="601"/>
      <c r="J24" s="601"/>
      <c r="K24" s="601"/>
      <c r="L24" s="601"/>
    </row>
    <row r="25" spans="2:13">
      <c r="H25" s="593"/>
      <c r="I25" s="601"/>
      <c r="J25" s="601"/>
      <c r="K25" s="601"/>
      <c r="L25" s="601"/>
    </row>
    <row r="27" spans="2:13" ht="15.75" thickBot="1"/>
    <row r="28" spans="2:13" ht="15.75" thickBot="1">
      <c r="B28" s="1134" t="s">
        <v>302</v>
      </c>
      <c r="C28" s="1135"/>
      <c r="D28" s="1135"/>
      <c r="E28" s="1136"/>
    </row>
    <row r="29" spans="2:13" ht="30">
      <c r="B29" s="543"/>
      <c r="C29" s="890">
        <f>C5</f>
        <v>2014</v>
      </c>
      <c r="D29" s="911" t="s">
        <v>479</v>
      </c>
      <c r="E29" s="552" t="s">
        <v>166</v>
      </c>
    </row>
    <row r="30" spans="2:13">
      <c r="B30" s="544" t="s">
        <v>293</v>
      </c>
      <c r="C30" s="891">
        <f>'En. elektryczna'!C15+Gaz!F13+Ciepło!H47+Ciepło!H15+Ciepło!H17</f>
        <v>389114.28180418117</v>
      </c>
      <c r="D30" s="915">
        <f>'En. elektryczna'!C22+Gaz!F20+Ciepło!H54+Ciepło!H23+Ciepło!H25</f>
        <v>405580.15573916404</v>
      </c>
      <c r="E30" s="596">
        <f>'En. elektryczna'!C29+Gaz!F27+Ciepło!G61+Ciepło!H31+Ciepło!H33</f>
        <v>426722.7007287055</v>
      </c>
    </row>
    <row r="31" spans="2:13">
      <c r="B31" s="544" t="s">
        <v>38</v>
      </c>
      <c r="C31" s="891">
        <f>'En. elektryczna'!C13+Gaz!F14+Ciepło!H46</f>
        <v>301637.06166666665</v>
      </c>
      <c r="D31" s="915">
        <f>Ciepło!H53+Gaz!F21+'En. elektryczna'!C20</f>
        <v>230007.65876497168</v>
      </c>
      <c r="E31" s="596">
        <f>'En. elektryczna'!C27+Gaz!F28+Ciepło!G60</f>
        <v>336768.97665554151</v>
      </c>
    </row>
    <row r="32" spans="2:13">
      <c r="B32" s="544" t="s">
        <v>126</v>
      </c>
      <c r="C32" s="891">
        <f>'En. elektryczna'!C14+Gaz!F15+Ciepło!H49</f>
        <v>51466.92</v>
      </c>
      <c r="D32" s="915">
        <f>Ciepło!H56+Gaz!F22+'En. elektryczna'!C21</f>
        <v>137568.28977780906</v>
      </c>
      <c r="E32" s="596">
        <f>'En. elektryczna'!C28+Gaz!F29+Ciepło!G63</f>
        <v>57222.065533157169</v>
      </c>
    </row>
    <row r="33" spans="2:5">
      <c r="B33" s="544" t="s">
        <v>298</v>
      </c>
      <c r="C33" s="891">
        <f>Oświetlenie!G8</f>
        <v>1109.06</v>
      </c>
      <c r="D33" s="915">
        <f>Oświetlenie!E41</f>
        <v>1743.56</v>
      </c>
      <c r="E33" s="596">
        <f>Oświetlenie!G8</f>
        <v>1109.06</v>
      </c>
    </row>
    <row r="34" spans="2:5" ht="15.75" thickBot="1">
      <c r="B34" s="545" t="s">
        <v>272</v>
      </c>
      <c r="C34" s="892">
        <f>Ciepło!H48</f>
        <v>11629.994444444445</v>
      </c>
      <c r="D34" s="916">
        <f>Ciepło!H55</f>
        <v>11558.448966262133</v>
      </c>
      <c r="E34" s="603">
        <f>Ciepło!G62</f>
        <v>12586.178519444444</v>
      </c>
    </row>
    <row r="35" spans="2:5" ht="15.75" thickBot="1">
      <c r="B35" s="546" t="s">
        <v>13</v>
      </c>
      <c r="C35" s="893">
        <f>SUM(C30:C34)</f>
        <v>754957.31791529234</v>
      </c>
      <c r="D35" s="918">
        <f>SUM(D30:D34)</f>
        <v>786458.11324820702</v>
      </c>
      <c r="E35" s="914">
        <f>SUM(E30:E34)</f>
        <v>834408.98143684876</v>
      </c>
    </row>
    <row r="37" spans="2:5" ht="15.75" thickBot="1">
      <c r="C37" s="297"/>
      <c r="D37" s="908"/>
    </row>
    <row r="38" spans="2:5" ht="15.75" thickBot="1">
      <c r="B38" s="1134" t="s">
        <v>303</v>
      </c>
      <c r="C38" s="1135"/>
      <c r="D38" s="1135"/>
      <c r="E38" s="1136"/>
    </row>
    <row r="39" spans="2:5" ht="30">
      <c r="B39" s="543"/>
      <c r="C39" s="890">
        <f>C29</f>
        <v>2014</v>
      </c>
      <c r="D39" s="911" t="s">
        <v>479</v>
      </c>
      <c r="E39" s="552" t="s">
        <v>166</v>
      </c>
    </row>
    <row r="40" spans="2:5">
      <c r="B40" s="544" t="str">
        <f>B6</f>
        <v>energia elektryczna</v>
      </c>
      <c r="C40" s="891">
        <f>'En. elektryczna'!C16+Oświetlenie!G7</f>
        <v>149945.65</v>
      </c>
      <c r="D40" s="915">
        <f>Oświetlenie!E41+'En. elektryczna'!C23</f>
        <v>170163.96000000002</v>
      </c>
      <c r="E40" s="596">
        <f>'En. elektryczna'!C30+Oświetlenie!G8</f>
        <v>175540.54227181154</v>
      </c>
    </row>
    <row r="41" spans="2:5">
      <c r="B41" s="544" t="str">
        <f>B7</f>
        <v>gaz</v>
      </c>
      <c r="C41" s="891">
        <f>Gaz!F16</f>
        <v>265161.55555555556</v>
      </c>
      <c r="D41" s="915">
        <f>Gaz!F23</f>
        <v>272332.19255643798</v>
      </c>
      <c r="E41" s="596">
        <f>Gaz!F30</f>
        <v>291140.93528243981</v>
      </c>
    </row>
    <row r="42" spans="2:5">
      <c r="B42" s="544" t="str">
        <f>B9</f>
        <v>paliwa opałowe</v>
      </c>
      <c r="C42" s="891">
        <f>Ciepło!H15+Ciepło!H17</f>
        <v>188784.89847084781</v>
      </c>
      <c r="D42" s="915">
        <f>Ciepło!H23+Ciepło!H25</f>
        <v>193852.23385719582</v>
      </c>
      <c r="E42" s="596">
        <f>Ciepło!H31+Ciepło!H33</f>
        <v>204270.63771787178</v>
      </c>
    </row>
    <row r="43" spans="2:5" ht="15.75" thickBot="1">
      <c r="B43" s="544" t="str">
        <f>B10</f>
        <v>ciepło systemowe</v>
      </c>
      <c r="C43" s="891">
        <f>Ciepło!H50</f>
        <v>151065.21388888889</v>
      </c>
      <c r="D43" s="915">
        <f>Ciepło!H57</f>
        <v>150109.72683457311</v>
      </c>
      <c r="E43" s="596">
        <f>Ciepło!G64</f>
        <v>163456.86388888888</v>
      </c>
    </row>
    <row r="44" spans="2:5" ht="15.75" thickBot="1">
      <c r="B44" s="546" t="s">
        <v>13</v>
      </c>
      <c r="C44" s="893">
        <f>SUM(C40:C43)</f>
        <v>754957.31791529222</v>
      </c>
      <c r="D44" s="917">
        <f>SUM(D40:D43)</f>
        <v>786458.11324820691</v>
      </c>
      <c r="E44" s="914">
        <f>SUM(E40:E43)</f>
        <v>834408.97916101199</v>
      </c>
    </row>
    <row r="48" spans="2:5">
      <c r="B48" s="1127"/>
      <c r="C48" s="1128"/>
      <c r="D48" s="1128"/>
      <c r="E48" s="1128"/>
    </row>
    <row r="49" spans="2:5">
      <c r="B49" s="1128"/>
      <c r="C49" s="1128"/>
      <c r="D49" s="1128"/>
      <c r="E49" s="1128"/>
    </row>
    <row r="50" spans="2:5">
      <c r="B50" s="1128"/>
      <c r="C50" s="1128"/>
      <c r="D50" s="1128"/>
      <c r="E50" s="1128"/>
    </row>
  </sheetData>
  <mergeCells count="6">
    <mergeCell ref="H20:I20"/>
    <mergeCell ref="B48:E50"/>
    <mergeCell ref="B4:D4"/>
    <mergeCell ref="B2:K2"/>
    <mergeCell ref="B28:E28"/>
    <mergeCell ref="B38:E3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rowBreaks count="1" manualBreakCount="1">
    <brk id="26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H124"/>
  <sheetViews>
    <sheetView tabSelected="1" view="pageBreakPreview" topLeftCell="H100" zoomScale="69" zoomScaleNormal="90" zoomScaleSheetLayoutView="69" workbookViewId="0">
      <selection activeCell="AF111" sqref="AF111"/>
    </sheetView>
  </sheetViews>
  <sheetFormatPr defaultRowHeight="15"/>
  <cols>
    <col min="1" max="1" width="2.5" style="13" customWidth="1"/>
    <col min="2" max="2" width="17.5" style="13" customWidth="1"/>
    <col min="3" max="3" width="8.25" style="13" customWidth="1"/>
    <col min="4" max="4" width="9.375" style="13" customWidth="1"/>
    <col min="5" max="5" width="8.625" style="13" customWidth="1"/>
    <col min="6" max="6" width="8.375" style="13" customWidth="1"/>
    <col min="7" max="7" width="8.875" style="13" customWidth="1"/>
    <col min="8" max="8" width="9" style="13" customWidth="1"/>
    <col min="9" max="9" width="8.75" style="13" customWidth="1"/>
    <col min="10" max="10" width="8.25" style="13" customWidth="1"/>
    <col min="11" max="11" width="8.75" style="13" customWidth="1"/>
    <col min="12" max="12" width="8.625" style="13" customWidth="1"/>
    <col min="13" max="14" width="9.25" style="13" customWidth="1"/>
    <col min="15" max="16" width="9.875" style="13" customWidth="1"/>
    <col min="17" max="20" width="10.5" style="13" customWidth="1"/>
    <col min="21" max="27" width="7" style="13" customWidth="1"/>
    <col min="28" max="28" width="8.75" style="13" customWidth="1"/>
    <col min="29" max="29" width="8.625" style="13" customWidth="1"/>
    <col min="30" max="30" width="10.125" style="13" customWidth="1"/>
    <col min="31" max="16384" width="9" style="13"/>
  </cols>
  <sheetData>
    <row r="1" spans="2:34" s="20" customFormat="1" ht="15" customHeight="1"/>
    <row r="2" spans="2:34" s="20" customFormat="1" ht="18.75">
      <c r="B2" s="947" t="s">
        <v>205</v>
      </c>
      <c r="C2" s="948"/>
      <c r="D2" s="948"/>
      <c r="E2" s="948"/>
      <c r="F2" s="948"/>
      <c r="G2" s="948"/>
      <c r="H2" s="948"/>
      <c r="I2" s="948"/>
      <c r="J2" s="948"/>
      <c r="K2" s="948"/>
      <c r="L2" s="948"/>
      <c r="M2" s="948"/>
      <c r="N2" s="948"/>
      <c r="O2" s="948"/>
      <c r="P2" s="948"/>
      <c r="Q2" s="948"/>
      <c r="R2" s="948"/>
      <c r="S2" s="948"/>
      <c r="T2" s="948"/>
      <c r="U2" s="948"/>
      <c r="V2" s="948"/>
      <c r="W2" s="948"/>
      <c r="X2" s="948"/>
      <c r="Y2" s="948"/>
      <c r="Z2" s="948"/>
      <c r="AA2" s="948"/>
      <c r="AB2" s="948"/>
      <c r="AC2" s="948"/>
      <c r="AD2" s="948"/>
      <c r="AE2" s="948"/>
      <c r="AF2" s="948"/>
      <c r="AG2" s="948"/>
      <c r="AH2" s="948"/>
    </row>
    <row r="3" spans="2:34" s="20" customFormat="1" ht="19.5" thickBot="1"/>
    <row r="4" spans="2:34" s="20" customFormat="1" ht="19.5" thickBot="1">
      <c r="B4" s="90" t="s">
        <v>76</v>
      </c>
      <c r="C4" s="91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2:34" s="20" customFormat="1" ht="19.5" thickBot="1">
      <c r="B5" s="95" t="s">
        <v>25</v>
      </c>
      <c r="C5" s="96">
        <v>2000</v>
      </c>
      <c r="D5" s="96">
        <v>2001</v>
      </c>
      <c r="E5" s="96">
        <v>2002</v>
      </c>
      <c r="F5" s="96">
        <v>2003</v>
      </c>
      <c r="G5" s="96">
        <v>2004</v>
      </c>
      <c r="H5" s="96">
        <v>2005</v>
      </c>
      <c r="I5" s="96">
        <v>2006</v>
      </c>
      <c r="J5" s="96">
        <v>2007</v>
      </c>
      <c r="K5" s="96">
        <v>2008</v>
      </c>
      <c r="L5" s="96">
        <v>2009</v>
      </c>
      <c r="M5" s="96">
        <v>2010</v>
      </c>
      <c r="N5" s="96">
        <v>2011</v>
      </c>
      <c r="O5" s="96">
        <v>2012</v>
      </c>
      <c r="P5" s="96">
        <v>2013</v>
      </c>
      <c r="Q5" s="96">
        <v>2014</v>
      </c>
      <c r="R5" s="96">
        <v>2015</v>
      </c>
      <c r="S5" s="96">
        <v>2016</v>
      </c>
      <c r="T5" s="96">
        <v>2017</v>
      </c>
      <c r="U5" s="96">
        <v>2018</v>
      </c>
      <c r="V5" s="96">
        <v>2019</v>
      </c>
      <c r="W5" s="97">
        <v>2020</v>
      </c>
      <c r="X5" s="96">
        <v>2021</v>
      </c>
      <c r="Y5" s="97">
        <v>2022</v>
      </c>
      <c r="Z5" s="96">
        <v>2023</v>
      </c>
    </row>
    <row r="6" spans="2:34" ht="15.75" thickBot="1"/>
    <row r="7" spans="2:34" ht="15.75" thickBot="1">
      <c r="B7" s="90" t="s">
        <v>61</v>
      </c>
      <c r="C7" s="91"/>
      <c r="Z7" s="944" t="s">
        <v>67</v>
      </c>
      <c r="AA7" s="945"/>
      <c r="AB7" s="945"/>
      <c r="AC7" s="945"/>
      <c r="AD7" s="945"/>
      <c r="AE7" s="945"/>
      <c r="AF7" s="945"/>
      <c r="AG7" s="946"/>
    </row>
    <row r="8" spans="2:34">
      <c r="B8" s="607" t="s">
        <v>25</v>
      </c>
      <c r="C8" s="88">
        <v>2000</v>
      </c>
      <c r="D8" s="88">
        <v>2001</v>
      </c>
      <c r="E8" s="88">
        <v>2002</v>
      </c>
      <c r="F8" s="88">
        <v>2003</v>
      </c>
      <c r="G8" s="88">
        <v>2004</v>
      </c>
      <c r="H8" s="88">
        <v>2005</v>
      </c>
      <c r="I8" s="88">
        <v>2006</v>
      </c>
      <c r="J8" s="88">
        <v>2007</v>
      </c>
      <c r="K8" s="88">
        <v>2008</v>
      </c>
      <c r="L8" s="88">
        <v>2009</v>
      </c>
      <c r="M8" s="88">
        <v>2010</v>
      </c>
      <c r="N8" s="88">
        <v>2011</v>
      </c>
      <c r="O8" s="88">
        <v>2012</v>
      </c>
      <c r="P8" s="93">
        <v>2013</v>
      </c>
      <c r="Q8" s="633">
        <v>2014</v>
      </c>
      <c r="R8" s="634">
        <v>2015</v>
      </c>
      <c r="S8" s="634">
        <v>2016</v>
      </c>
      <c r="T8" s="641">
        <v>2017</v>
      </c>
      <c r="U8" s="953" t="s">
        <v>66</v>
      </c>
      <c r="V8" s="954"/>
      <c r="W8" s="954"/>
      <c r="X8" s="955"/>
      <c r="Z8" s="949" t="s">
        <v>25</v>
      </c>
      <c r="AA8" s="950"/>
      <c r="AB8" s="88">
        <v>2018</v>
      </c>
      <c r="AC8" s="88">
        <v>2019</v>
      </c>
      <c r="AD8" s="88">
        <v>2020</v>
      </c>
      <c r="AE8" s="88">
        <v>2021</v>
      </c>
      <c r="AF8" s="88">
        <v>2022</v>
      </c>
      <c r="AG8" s="89">
        <v>2023</v>
      </c>
    </row>
    <row r="9" spans="2:34" ht="30.75" customHeight="1" thickBot="1">
      <c r="B9" s="635" t="s">
        <v>78</v>
      </c>
      <c r="C9" s="636">
        <v>46564</v>
      </c>
      <c r="D9" s="636">
        <v>46403</v>
      </c>
      <c r="E9" s="636">
        <v>46481</v>
      </c>
      <c r="F9" s="636">
        <v>46525</v>
      </c>
      <c r="G9" s="636">
        <v>46274</v>
      </c>
      <c r="H9" s="636">
        <v>45947</v>
      </c>
      <c r="I9" s="636">
        <v>45711</v>
      </c>
      <c r="J9" s="636">
        <v>45475</v>
      </c>
      <c r="K9" s="636">
        <v>45473</v>
      </c>
      <c r="L9" s="636">
        <v>45270</v>
      </c>
      <c r="M9" s="636">
        <v>45548</v>
      </c>
      <c r="N9" s="636">
        <v>45275</v>
      </c>
      <c r="O9" s="636">
        <v>44974</v>
      </c>
      <c r="P9" s="94">
        <v>44797</v>
      </c>
      <c r="Q9" s="636">
        <v>44585</v>
      </c>
      <c r="R9" s="636">
        <v>44506</v>
      </c>
      <c r="S9" s="642">
        <v>44383</v>
      </c>
      <c r="T9" s="643">
        <v>44303</v>
      </c>
      <c r="U9" s="959">
        <f>(Q9/G9)^(1/10)-1</f>
        <v>-3.7113726383566359E-3</v>
      </c>
      <c r="V9" s="960"/>
      <c r="W9" s="960"/>
      <c r="X9" s="961"/>
      <c r="Z9" s="951" t="s">
        <v>78</v>
      </c>
      <c r="AA9" s="952"/>
      <c r="AB9" s="940">
        <v>43925</v>
      </c>
      <c r="AC9" s="940">
        <v>43761</v>
      </c>
      <c r="AD9" s="940">
        <v>43598</v>
      </c>
      <c r="AE9" s="940">
        <v>43434</v>
      </c>
      <c r="AF9" s="940">
        <v>43270</v>
      </c>
      <c r="AG9" s="941">
        <v>43107</v>
      </c>
    </row>
    <row r="25" spans="2:33" ht="15.75" thickBot="1"/>
    <row r="26" spans="2:33" ht="15.75" thickBot="1">
      <c r="B26" s="90" t="s">
        <v>73</v>
      </c>
      <c r="C26" s="91"/>
      <c r="Z26" s="944" t="s">
        <v>75</v>
      </c>
      <c r="AA26" s="945"/>
      <c r="AB26" s="945"/>
      <c r="AC26" s="945"/>
      <c r="AD26" s="946"/>
    </row>
    <row r="27" spans="2:33">
      <c r="B27" s="607" t="s">
        <v>25</v>
      </c>
      <c r="C27" s="88">
        <v>2000</v>
      </c>
      <c r="D27" s="88">
        <v>2001</v>
      </c>
      <c r="E27" s="88">
        <v>2002</v>
      </c>
      <c r="F27" s="88">
        <v>2003</v>
      </c>
      <c r="G27" s="88">
        <v>2004</v>
      </c>
      <c r="H27" s="88">
        <v>2005</v>
      </c>
      <c r="I27" s="88">
        <v>2006</v>
      </c>
      <c r="J27" s="88">
        <v>2007</v>
      </c>
      <c r="K27" s="88">
        <v>2008</v>
      </c>
      <c r="L27" s="88">
        <v>2009</v>
      </c>
      <c r="M27" s="88">
        <v>2010</v>
      </c>
      <c r="N27" s="88">
        <v>2011</v>
      </c>
      <c r="O27" s="88">
        <v>2012</v>
      </c>
      <c r="P27" s="88">
        <v>2013</v>
      </c>
      <c r="Q27" s="88">
        <v>2014</v>
      </c>
      <c r="R27" s="88">
        <v>2015</v>
      </c>
      <c r="S27" s="88">
        <v>2016</v>
      </c>
      <c r="T27" s="89">
        <v>2017</v>
      </c>
      <c r="U27" s="953" t="s">
        <v>66</v>
      </c>
      <c r="V27" s="954"/>
      <c r="W27" s="954"/>
      <c r="X27" s="955"/>
      <c r="Z27" s="949" t="s">
        <v>25</v>
      </c>
      <c r="AA27" s="950"/>
      <c r="AB27" s="88">
        <v>2018</v>
      </c>
      <c r="AC27" s="88">
        <v>2019</v>
      </c>
      <c r="AD27" s="88">
        <v>2020</v>
      </c>
      <c r="AE27" s="88">
        <v>2021</v>
      </c>
      <c r="AF27" s="88">
        <v>2022</v>
      </c>
      <c r="AG27" s="89">
        <v>2023</v>
      </c>
    </row>
    <row r="28" spans="2:33" ht="15.75" thickBot="1">
      <c r="B28" s="635" t="s">
        <v>77</v>
      </c>
      <c r="C28" s="636">
        <v>14296</v>
      </c>
      <c r="D28" s="636">
        <v>14450</v>
      </c>
      <c r="E28" s="636">
        <v>15137</v>
      </c>
      <c r="F28" s="636">
        <v>15318</v>
      </c>
      <c r="G28" s="636">
        <v>15444</v>
      </c>
      <c r="H28" s="636">
        <v>15521</v>
      </c>
      <c r="I28" s="636">
        <v>15632</v>
      </c>
      <c r="J28" s="636">
        <v>15697</v>
      </c>
      <c r="K28" s="636">
        <v>15828</v>
      </c>
      <c r="L28" s="636">
        <v>15922</v>
      </c>
      <c r="M28" s="636">
        <v>16325</v>
      </c>
      <c r="N28" s="636">
        <v>16386</v>
      </c>
      <c r="O28" s="636">
        <v>16414</v>
      </c>
      <c r="P28" s="636">
        <v>16542</v>
      </c>
      <c r="Q28" s="636">
        <v>16747</v>
      </c>
      <c r="R28" s="644">
        <v>16948</v>
      </c>
      <c r="S28" s="644">
        <v>17000</v>
      </c>
      <c r="T28" s="645">
        <v>17218</v>
      </c>
      <c r="U28" s="959">
        <f>(Q28/G28)^(1/10)-1</f>
        <v>8.132748516532784E-3</v>
      </c>
      <c r="V28" s="960"/>
      <c r="W28" s="960"/>
      <c r="X28" s="961"/>
      <c r="Z28" s="951" t="s">
        <v>77</v>
      </c>
      <c r="AA28" s="952"/>
      <c r="AB28" s="940">
        <v>17231.800000000003</v>
      </c>
      <c r="AC28" s="940">
        <v>17353.000000000004</v>
      </c>
      <c r="AD28" s="940">
        <v>17474.200000000004</v>
      </c>
      <c r="AE28" s="940">
        <v>17595</v>
      </c>
      <c r="AF28" s="940">
        <v>17716</v>
      </c>
      <c r="AG28" s="941">
        <v>17837</v>
      </c>
    </row>
    <row r="45" spans="2:24" ht="15.75" thickBot="1"/>
    <row r="46" spans="2:24" ht="15.75" thickBot="1">
      <c r="B46" s="90" t="s">
        <v>62</v>
      </c>
      <c r="C46" s="91"/>
    </row>
    <row r="47" spans="2:24">
      <c r="B47" s="607" t="s">
        <v>25</v>
      </c>
      <c r="C47" s="88">
        <v>2000</v>
      </c>
      <c r="D47" s="88">
        <v>2001</v>
      </c>
      <c r="E47" s="88">
        <v>2002</v>
      </c>
      <c r="F47" s="88">
        <v>2003</v>
      </c>
      <c r="G47" s="88">
        <v>2004</v>
      </c>
      <c r="H47" s="88">
        <v>2005</v>
      </c>
      <c r="I47" s="88">
        <v>2006</v>
      </c>
      <c r="J47" s="88">
        <v>2007</v>
      </c>
      <c r="K47" s="88">
        <v>2008</v>
      </c>
      <c r="L47" s="88">
        <v>2009</v>
      </c>
      <c r="M47" s="88">
        <v>2010</v>
      </c>
      <c r="N47" s="88">
        <v>2011</v>
      </c>
      <c r="O47" s="88">
        <v>2012</v>
      </c>
      <c r="P47" s="88">
        <v>2013</v>
      </c>
      <c r="Q47" s="88">
        <v>2014</v>
      </c>
      <c r="R47" s="88">
        <v>2015</v>
      </c>
      <c r="S47" s="88">
        <v>2016</v>
      </c>
      <c r="T47" s="89">
        <v>2017</v>
      </c>
      <c r="U47" s="953" t="s">
        <v>146</v>
      </c>
      <c r="V47" s="954"/>
      <c r="W47" s="954"/>
      <c r="X47" s="955"/>
    </row>
    <row r="48" spans="2:24" ht="15.75" customHeight="1" thickBot="1">
      <c r="B48" s="635" t="s">
        <v>68</v>
      </c>
      <c r="C48" s="636" t="s">
        <v>153</v>
      </c>
      <c r="D48" s="636" t="s">
        <v>153</v>
      </c>
      <c r="E48" s="636" t="s">
        <v>153</v>
      </c>
      <c r="F48" s="636" t="s">
        <v>153</v>
      </c>
      <c r="G48" s="636" t="s">
        <v>153</v>
      </c>
      <c r="H48" s="636">
        <v>93</v>
      </c>
      <c r="I48" s="636">
        <v>126</v>
      </c>
      <c r="J48" s="636">
        <v>71</v>
      </c>
      <c r="K48" s="636">
        <v>135</v>
      </c>
      <c r="L48" s="636">
        <v>99</v>
      </c>
      <c r="M48" s="636">
        <v>202</v>
      </c>
      <c r="N48" s="636">
        <v>75</v>
      </c>
      <c r="O48" s="636">
        <v>45</v>
      </c>
      <c r="P48" s="636">
        <v>145</v>
      </c>
      <c r="Q48" s="636">
        <v>221</v>
      </c>
      <c r="R48" s="636">
        <v>210</v>
      </c>
      <c r="S48" s="636">
        <v>68</v>
      </c>
      <c r="T48" s="637">
        <v>227</v>
      </c>
      <c r="U48" s="956">
        <f>SUM(F48:Q48)/10</f>
        <v>121.2</v>
      </c>
      <c r="V48" s="957"/>
      <c r="W48" s="957"/>
      <c r="X48" s="958"/>
    </row>
    <row r="64" ht="15.75" thickBot="1"/>
    <row r="65" spans="2:33" ht="18" thickBot="1">
      <c r="B65" s="90" t="s">
        <v>63</v>
      </c>
      <c r="C65" s="638"/>
      <c r="D65" s="91"/>
      <c r="Z65" s="944" t="s">
        <v>69</v>
      </c>
      <c r="AA65" s="945"/>
      <c r="AB65" s="945"/>
      <c r="AC65" s="945"/>
      <c r="AD65" s="946"/>
    </row>
    <row r="66" spans="2:33">
      <c r="B66" s="607" t="s">
        <v>25</v>
      </c>
      <c r="C66" s="88">
        <v>2000</v>
      </c>
      <c r="D66" s="88">
        <v>2001</v>
      </c>
      <c r="E66" s="88">
        <v>2002</v>
      </c>
      <c r="F66" s="88">
        <v>2003</v>
      </c>
      <c r="G66" s="88">
        <v>2004</v>
      </c>
      <c r="H66" s="88">
        <v>2005</v>
      </c>
      <c r="I66" s="88">
        <v>2006</v>
      </c>
      <c r="J66" s="88">
        <v>2007</v>
      </c>
      <c r="K66" s="88">
        <v>2008</v>
      </c>
      <c r="L66" s="88">
        <v>2009</v>
      </c>
      <c r="M66" s="88">
        <v>2010</v>
      </c>
      <c r="N66" s="88">
        <v>2011</v>
      </c>
      <c r="O66" s="88">
        <v>2012</v>
      </c>
      <c r="P66" s="88">
        <v>2013</v>
      </c>
      <c r="Q66" s="88">
        <v>2014</v>
      </c>
      <c r="R66" s="88">
        <v>2015</v>
      </c>
      <c r="S66" s="88">
        <v>2016</v>
      </c>
      <c r="T66" s="89">
        <v>2017</v>
      </c>
      <c r="U66" s="953" t="s">
        <v>66</v>
      </c>
      <c r="V66" s="954"/>
      <c r="W66" s="954"/>
      <c r="X66" s="955"/>
      <c r="Z66" s="949" t="s">
        <v>25</v>
      </c>
      <c r="AA66" s="950"/>
      <c r="AB66" s="88">
        <v>2018</v>
      </c>
      <c r="AC66" s="88">
        <v>2019</v>
      </c>
      <c r="AD66" s="88">
        <v>2020</v>
      </c>
      <c r="AE66" s="88">
        <v>2021</v>
      </c>
      <c r="AF66" s="88">
        <v>2022</v>
      </c>
      <c r="AG66" s="89">
        <v>2023</v>
      </c>
    </row>
    <row r="67" spans="2:33" ht="30.75" thickBot="1">
      <c r="B67" s="635" t="s">
        <v>80</v>
      </c>
      <c r="C67" s="636">
        <v>863588</v>
      </c>
      <c r="D67" s="636">
        <v>875289</v>
      </c>
      <c r="E67" s="636">
        <v>995821</v>
      </c>
      <c r="F67" s="636">
        <v>1013566</v>
      </c>
      <c r="G67" s="636">
        <v>1026262</v>
      </c>
      <c r="H67" s="636">
        <v>1035005</v>
      </c>
      <c r="I67" s="636">
        <v>1045834</v>
      </c>
      <c r="J67" s="636">
        <v>1054448</v>
      </c>
      <c r="K67" s="636">
        <v>1065247</v>
      </c>
      <c r="L67" s="636">
        <v>1077220</v>
      </c>
      <c r="M67" s="636">
        <v>1136512</v>
      </c>
      <c r="N67" s="636">
        <v>1143129</v>
      </c>
      <c r="O67" s="636">
        <v>1147078</v>
      </c>
      <c r="P67" s="636">
        <v>1156352</v>
      </c>
      <c r="Q67" s="636">
        <v>1170374</v>
      </c>
      <c r="R67" s="644">
        <v>1182779</v>
      </c>
      <c r="S67" s="644">
        <v>1188039</v>
      </c>
      <c r="T67" s="645">
        <v>1201789</v>
      </c>
      <c r="U67" s="959">
        <f>(Q67/G67)^(1/10)-1</f>
        <v>1.3226737649322917E-2</v>
      </c>
      <c r="V67" s="960"/>
      <c r="W67" s="960"/>
      <c r="X67" s="961"/>
      <c r="Z67" s="951" t="s">
        <v>79</v>
      </c>
      <c r="AA67" s="952"/>
      <c r="AB67" s="940">
        <v>1233532</v>
      </c>
      <c r="AC67" s="940">
        <v>1249847</v>
      </c>
      <c r="AD67" s="940">
        <v>1266378</v>
      </c>
      <c r="AE67" s="940">
        <v>1282765</v>
      </c>
      <c r="AF67" s="940">
        <v>1299188</v>
      </c>
      <c r="AG67" s="941">
        <v>1315611</v>
      </c>
    </row>
    <row r="83" spans="2:33" ht="15.75" thickBot="1"/>
    <row r="84" spans="2:33" ht="18" thickBot="1">
      <c r="B84" s="90" t="s">
        <v>147</v>
      </c>
      <c r="C84" s="638"/>
      <c r="D84" s="91"/>
      <c r="Z84" s="944" t="s">
        <v>148</v>
      </c>
      <c r="AA84" s="945"/>
      <c r="AB84" s="945"/>
      <c r="AC84" s="945"/>
      <c r="AD84" s="946"/>
    </row>
    <row r="85" spans="2:33">
      <c r="B85" s="607" t="s">
        <v>25</v>
      </c>
      <c r="C85" s="88">
        <v>2000</v>
      </c>
      <c r="D85" s="88">
        <v>2001</v>
      </c>
      <c r="E85" s="88">
        <v>2002</v>
      </c>
      <c r="F85" s="88">
        <v>2003</v>
      </c>
      <c r="G85" s="88">
        <v>2004</v>
      </c>
      <c r="H85" s="88">
        <v>2005</v>
      </c>
      <c r="I85" s="88">
        <v>2006</v>
      </c>
      <c r="J85" s="88">
        <v>2007</v>
      </c>
      <c r="K85" s="88">
        <v>2008</v>
      </c>
      <c r="L85" s="88">
        <v>2009</v>
      </c>
      <c r="M85" s="88">
        <v>2010</v>
      </c>
      <c r="N85" s="88">
        <v>2011</v>
      </c>
      <c r="O85" s="88">
        <v>2012</v>
      </c>
      <c r="P85" s="88">
        <v>2013</v>
      </c>
      <c r="Q85" s="88">
        <v>2014</v>
      </c>
      <c r="R85" s="88">
        <v>2015</v>
      </c>
      <c r="S85" s="88">
        <v>2016</v>
      </c>
      <c r="T85" s="89">
        <v>2017</v>
      </c>
      <c r="U85" s="953" t="s">
        <v>66</v>
      </c>
      <c r="V85" s="954"/>
      <c r="W85" s="954"/>
      <c r="X85" s="955"/>
      <c r="Z85" s="949" t="s">
        <v>25</v>
      </c>
      <c r="AA85" s="950"/>
      <c r="AB85" s="88">
        <v>2018</v>
      </c>
      <c r="AC85" s="88">
        <v>2019</v>
      </c>
      <c r="AD85" s="88">
        <v>2020</v>
      </c>
      <c r="AE85" s="88">
        <v>2021</v>
      </c>
      <c r="AF85" s="88">
        <v>2022</v>
      </c>
      <c r="AG85" s="89">
        <v>2023</v>
      </c>
    </row>
    <row r="86" spans="2:33" ht="30.75" customHeight="1" thickBot="1">
      <c r="B86" s="635" t="s">
        <v>70</v>
      </c>
      <c r="C86" s="639" t="s">
        <v>153</v>
      </c>
      <c r="D86" s="639" t="s">
        <v>153</v>
      </c>
      <c r="E86" s="639">
        <v>65.8</v>
      </c>
      <c r="F86" s="639">
        <v>66.2</v>
      </c>
      <c r="G86" s="639">
        <v>66.5</v>
      </c>
      <c r="H86" s="639">
        <v>66.7</v>
      </c>
      <c r="I86" s="639">
        <v>66.900000000000006</v>
      </c>
      <c r="J86" s="639">
        <v>67.2</v>
      </c>
      <c r="K86" s="639">
        <v>67.3</v>
      </c>
      <c r="L86" s="639">
        <v>67.7</v>
      </c>
      <c r="M86" s="639">
        <v>69.599999999999994</v>
      </c>
      <c r="N86" s="639">
        <v>69.8</v>
      </c>
      <c r="O86" s="639">
        <v>69.900000000000006</v>
      </c>
      <c r="P86" s="639">
        <v>69.900000000000006</v>
      </c>
      <c r="Q86" s="639">
        <v>69.900000000000006</v>
      </c>
      <c r="R86" s="639">
        <f>R67/R28</f>
        <v>69.788706632050975</v>
      </c>
      <c r="S86" s="639">
        <f t="shared" ref="S86:T86" si="0">S67/S28</f>
        <v>69.884647058823532</v>
      </c>
      <c r="T86" s="640">
        <f t="shared" si="0"/>
        <v>69.798408642118716</v>
      </c>
      <c r="U86" s="959">
        <f>(Q86/F86)^(1/10)-1</f>
        <v>5.4533342182307987E-3</v>
      </c>
      <c r="V86" s="960"/>
      <c r="W86" s="960"/>
      <c r="X86" s="961"/>
      <c r="Z86" s="951" t="s">
        <v>70</v>
      </c>
      <c r="AA86" s="952"/>
      <c r="AB86" s="942">
        <v>71.584628419549887</v>
      </c>
      <c r="AC86" s="942">
        <v>72.024837203941672</v>
      </c>
      <c r="AD86" s="942">
        <v>72.471300545947727</v>
      </c>
      <c r="AE86" s="942">
        <v>72.913594182877603</v>
      </c>
      <c r="AF86" s="942">
        <v>73.356930246076502</v>
      </c>
      <c r="AG86" s="943">
        <v>73.800266309275401</v>
      </c>
    </row>
    <row r="102" spans="2:33" ht="15.75" thickBot="1"/>
    <row r="103" spans="2:33" ht="15.75" thickBot="1">
      <c r="B103" s="132" t="s">
        <v>64</v>
      </c>
      <c r="C103" s="91"/>
      <c r="D103" s="91"/>
      <c r="Z103" s="944" t="s">
        <v>71</v>
      </c>
      <c r="AA103" s="945"/>
      <c r="AB103" s="945"/>
      <c r="AC103" s="945"/>
      <c r="AD103" s="946"/>
    </row>
    <row r="104" spans="2:33">
      <c r="B104" s="607" t="s">
        <v>25</v>
      </c>
      <c r="C104" s="88">
        <v>2000</v>
      </c>
      <c r="D104" s="88">
        <v>2001</v>
      </c>
      <c r="E104" s="88">
        <v>2002</v>
      </c>
      <c r="F104" s="88">
        <v>2003</v>
      </c>
      <c r="G104" s="88">
        <v>2004</v>
      </c>
      <c r="H104" s="88">
        <v>2005</v>
      </c>
      <c r="I104" s="88">
        <v>2006</v>
      </c>
      <c r="J104" s="88">
        <v>2007</v>
      </c>
      <c r="K104" s="88">
        <v>2008</v>
      </c>
      <c r="L104" s="88">
        <v>2009</v>
      </c>
      <c r="M104" s="88">
        <v>2010</v>
      </c>
      <c r="N104" s="88">
        <v>2011</v>
      </c>
      <c r="O104" s="88">
        <v>2012</v>
      </c>
      <c r="P104" s="93">
        <v>2013</v>
      </c>
      <c r="Q104" s="88">
        <v>2014</v>
      </c>
      <c r="R104" s="93">
        <v>2015</v>
      </c>
      <c r="S104" s="88">
        <v>2016</v>
      </c>
      <c r="T104" s="93">
        <v>2017</v>
      </c>
      <c r="U104" s="953" t="s">
        <v>66</v>
      </c>
      <c r="V104" s="954"/>
      <c r="W104" s="954"/>
      <c r="X104" s="955"/>
      <c r="Z104" s="949" t="s">
        <v>25</v>
      </c>
      <c r="AA104" s="950"/>
      <c r="AB104" s="88">
        <v>2018</v>
      </c>
      <c r="AC104" s="88">
        <v>2019</v>
      </c>
      <c r="AD104" s="88">
        <v>2020</v>
      </c>
      <c r="AE104" s="88">
        <v>2021</v>
      </c>
      <c r="AF104" s="88">
        <v>2022</v>
      </c>
      <c r="AG104" s="89">
        <v>2023</v>
      </c>
    </row>
    <row r="105" spans="2:33" ht="30.75" customHeight="1" thickBot="1">
      <c r="B105" s="635" t="s">
        <v>72</v>
      </c>
      <c r="C105" s="636">
        <v>4579</v>
      </c>
      <c r="D105" s="636">
        <v>4641</v>
      </c>
      <c r="E105" s="636">
        <v>4606</v>
      </c>
      <c r="F105" s="636">
        <v>4585</v>
      </c>
      <c r="G105" s="636">
        <v>4431</v>
      </c>
      <c r="H105" s="636">
        <v>4461</v>
      </c>
      <c r="I105" s="636">
        <v>4487</v>
      </c>
      <c r="J105" s="636">
        <v>4529</v>
      </c>
      <c r="K105" s="636">
        <v>4554</v>
      </c>
      <c r="L105" s="636">
        <v>4405</v>
      </c>
      <c r="M105" s="636">
        <v>4521</v>
      </c>
      <c r="N105" s="636">
        <v>4426</v>
      </c>
      <c r="O105" s="636">
        <v>4468</v>
      </c>
      <c r="P105" s="94">
        <v>4541</v>
      </c>
      <c r="Q105" s="636">
        <v>4533</v>
      </c>
      <c r="R105" s="636">
        <v>4559</v>
      </c>
      <c r="S105" s="636">
        <v>4556</v>
      </c>
      <c r="T105" s="637">
        <v>4466</v>
      </c>
      <c r="U105" s="962">
        <f>(Q105/L105)^(1/5)-1</f>
        <v>5.7451831392196784E-3</v>
      </c>
      <c r="V105" s="963"/>
      <c r="W105" s="963"/>
      <c r="X105" s="964"/>
      <c r="Z105" s="951" t="s">
        <v>72</v>
      </c>
      <c r="AA105" s="952"/>
      <c r="AB105" s="940">
        <v>4637</v>
      </c>
      <c r="AC105" s="940">
        <v>4663</v>
      </c>
      <c r="AD105" s="940">
        <v>4689</v>
      </c>
      <c r="AE105" s="940">
        <v>4715</v>
      </c>
      <c r="AF105" s="940">
        <v>4741</v>
      </c>
      <c r="AG105" s="941">
        <v>4767</v>
      </c>
    </row>
    <row r="121" spans="2:33" ht="15.75" thickBot="1"/>
    <row r="122" spans="2:33" ht="15.75" thickBot="1">
      <c r="B122" s="90" t="s">
        <v>65</v>
      </c>
      <c r="C122" s="638"/>
      <c r="D122" s="638"/>
      <c r="E122" s="91"/>
      <c r="Z122" s="944" t="s">
        <v>74</v>
      </c>
      <c r="AA122" s="945"/>
      <c r="AB122" s="945"/>
      <c r="AC122" s="945"/>
      <c r="AD122" s="946"/>
    </row>
    <row r="123" spans="2:33">
      <c r="B123" s="607" t="s">
        <v>25</v>
      </c>
      <c r="C123" s="88">
        <v>2000</v>
      </c>
      <c r="D123" s="88">
        <v>2001</v>
      </c>
      <c r="E123" s="88">
        <v>2002</v>
      </c>
      <c r="F123" s="88">
        <v>2003</v>
      </c>
      <c r="G123" s="88">
        <v>2004</v>
      </c>
      <c r="H123" s="88">
        <v>2005</v>
      </c>
      <c r="I123" s="88">
        <v>2006</v>
      </c>
      <c r="J123" s="88">
        <v>2007</v>
      </c>
      <c r="K123" s="88">
        <v>2008</v>
      </c>
      <c r="L123" s="88">
        <v>2009</v>
      </c>
      <c r="M123" s="88">
        <v>2010</v>
      </c>
      <c r="N123" s="88">
        <v>2011</v>
      </c>
      <c r="O123" s="88">
        <v>2012</v>
      </c>
      <c r="P123" s="88">
        <v>2013</v>
      </c>
      <c r="Q123" s="88">
        <v>2014</v>
      </c>
      <c r="R123" s="88">
        <v>2015</v>
      </c>
      <c r="S123" s="88">
        <v>2016</v>
      </c>
      <c r="T123" s="88">
        <v>2017</v>
      </c>
      <c r="U123" s="953" t="s">
        <v>66</v>
      </c>
      <c r="V123" s="954"/>
      <c r="W123" s="954"/>
      <c r="X123" s="955"/>
      <c r="Z123" s="949" t="s">
        <v>25</v>
      </c>
      <c r="AA123" s="950"/>
      <c r="AB123" s="88">
        <v>2018</v>
      </c>
      <c r="AC123" s="88">
        <v>2019</v>
      </c>
      <c r="AD123" s="88">
        <v>2020</v>
      </c>
      <c r="AE123" s="88">
        <v>2021</v>
      </c>
      <c r="AF123" s="88">
        <v>2022</v>
      </c>
      <c r="AG123" s="89">
        <v>2023</v>
      </c>
    </row>
    <row r="124" spans="2:33" ht="15.75" thickBot="1">
      <c r="B124" s="635" t="s">
        <v>73</v>
      </c>
      <c r="C124" s="636" t="s">
        <v>153</v>
      </c>
      <c r="D124" s="636" t="s">
        <v>153</v>
      </c>
      <c r="E124" s="636">
        <v>11538</v>
      </c>
      <c r="F124" s="636">
        <v>11677</v>
      </c>
      <c r="G124" s="636">
        <v>11716</v>
      </c>
      <c r="H124" s="636">
        <v>11749</v>
      </c>
      <c r="I124" s="636">
        <v>11850</v>
      </c>
      <c r="J124" s="636">
        <v>12469</v>
      </c>
      <c r="K124" s="636">
        <v>12495</v>
      </c>
      <c r="L124" s="636">
        <v>12661</v>
      </c>
      <c r="M124" s="636">
        <v>12875</v>
      </c>
      <c r="N124" s="636">
        <v>12928</v>
      </c>
      <c r="O124" s="636">
        <v>12949</v>
      </c>
      <c r="P124" s="636">
        <v>13062</v>
      </c>
      <c r="Q124" s="636">
        <v>13769</v>
      </c>
      <c r="R124" s="636">
        <v>13634.538461538499</v>
      </c>
      <c r="S124" s="636">
        <v>13804.989010989</v>
      </c>
      <c r="T124" s="636">
        <v>13975.4395604396</v>
      </c>
      <c r="U124" s="959">
        <v>0</v>
      </c>
      <c r="V124" s="960"/>
      <c r="W124" s="960"/>
      <c r="X124" s="961"/>
      <c r="Z124" s="951" t="s">
        <v>73</v>
      </c>
      <c r="AA124" s="952"/>
      <c r="AB124" s="940">
        <v>13769</v>
      </c>
      <c r="AC124" s="940">
        <v>13769</v>
      </c>
      <c r="AD124" s="940">
        <v>13769</v>
      </c>
      <c r="AE124" s="940">
        <v>13769</v>
      </c>
      <c r="AF124" s="940">
        <v>13769</v>
      </c>
      <c r="AG124" s="941">
        <v>13769</v>
      </c>
    </row>
  </sheetData>
  <mergeCells count="33">
    <mergeCell ref="Z104:AA104"/>
    <mergeCell ref="Z105:AA105"/>
    <mergeCell ref="Z65:AD65"/>
    <mergeCell ref="Z103:AD103"/>
    <mergeCell ref="U123:X123"/>
    <mergeCell ref="U124:X124"/>
    <mergeCell ref="Z66:AA66"/>
    <mergeCell ref="Z67:AA67"/>
    <mergeCell ref="Z85:AA85"/>
    <mergeCell ref="U66:X66"/>
    <mergeCell ref="U67:X67"/>
    <mergeCell ref="U85:X85"/>
    <mergeCell ref="U86:X86"/>
    <mergeCell ref="U104:X104"/>
    <mergeCell ref="U105:X105"/>
    <mergeCell ref="Z124:AA124"/>
    <mergeCell ref="Z123:AA123"/>
    <mergeCell ref="Z84:AD84"/>
    <mergeCell ref="Z122:AD122"/>
    <mergeCell ref="Z86:AA86"/>
    <mergeCell ref="U48:X48"/>
    <mergeCell ref="U27:X27"/>
    <mergeCell ref="Z27:AA27"/>
    <mergeCell ref="U28:X28"/>
    <mergeCell ref="U9:X9"/>
    <mergeCell ref="Z28:AA28"/>
    <mergeCell ref="Z26:AD26"/>
    <mergeCell ref="Z7:AG7"/>
    <mergeCell ref="B2:AH2"/>
    <mergeCell ref="Z8:AA8"/>
    <mergeCell ref="Z9:AA9"/>
    <mergeCell ref="U47:X47"/>
    <mergeCell ref="U8:X8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rowBreaks count="2" manualBreakCount="2">
    <brk id="64" max="33" man="1"/>
    <brk id="121" max="3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E4:G13"/>
  <sheetViews>
    <sheetView workbookViewId="0">
      <selection activeCell="O20" sqref="O20"/>
    </sheetView>
  </sheetViews>
  <sheetFormatPr defaultRowHeight="14.25"/>
  <cols>
    <col min="5" max="5" width="10.875" customWidth="1"/>
  </cols>
  <sheetData>
    <row r="4" spans="5:7">
      <c r="F4">
        <v>7390</v>
      </c>
    </row>
    <row r="5" spans="5:7">
      <c r="E5" t="s">
        <v>196</v>
      </c>
      <c r="F5">
        <v>167</v>
      </c>
      <c r="G5" s="296">
        <f>F5/$F$4</f>
        <v>2.259810554803789E-2</v>
      </c>
    </row>
    <row r="6" spans="5:7">
      <c r="E6" t="s">
        <v>197</v>
      </c>
      <c r="F6">
        <v>412</v>
      </c>
      <c r="G6" s="296">
        <f t="shared" ref="G6:G12" si="0">F6/$F$4</f>
        <v>5.5751014884979702E-2</v>
      </c>
    </row>
    <row r="7" spans="5:7">
      <c r="E7" t="s">
        <v>198</v>
      </c>
      <c r="F7">
        <v>2166</v>
      </c>
      <c r="G7" s="296">
        <f t="shared" si="0"/>
        <v>0.29309878213802437</v>
      </c>
    </row>
    <row r="8" spans="5:7">
      <c r="E8" t="s">
        <v>199</v>
      </c>
      <c r="F8">
        <v>1421</v>
      </c>
      <c r="G8" s="296">
        <f t="shared" si="0"/>
        <v>0.19228687415426252</v>
      </c>
    </row>
    <row r="9" spans="5:7">
      <c r="E9" t="s">
        <v>200</v>
      </c>
      <c r="F9">
        <v>859</v>
      </c>
      <c r="G9" s="296">
        <f t="shared" si="0"/>
        <v>0.1162381596752368</v>
      </c>
    </row>
    <row r="10" spans="5:7">
      <c r="E10" t="s">
        <v>201</v>
      </c>
      <c r="F10">
        <v>1057</v>
      </c>
      <c r="G10" s="296">
        <f t="shared" si="0"/>
        <v>0.14303112313937755</v>
      </c>
    </row>
    <row r="11" spans="5:7">
      <c r="E11" t="s">
        <v>202</v>
      </c>
      <c r="F11">
        <v>607</v>
      </c>
      <c r="G11" s="296">
        <f t="shared" si="0"/>
        <v>8.213802435723952E-2</v>
      </c>
    </row>
    <row r="12" spans="5:7">
      <c r="E12" t="s">
        <v>203</v>
      </c>
      <c r="F12">
        <v>362</v>
      </c>
      <c r="G12" s="296">
        <f t="shared" si="0"/>
        <v>4.8985115020297697E-2</v>
      </c>
    </row>
    <row r="13" spans="5:7">
      <c r="E13" t="s">
        <v>204</v>
      </c>
      <c r="G13" s="296">
        <v>4.5900000000000003E-2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E2:G21"/>
  <sheetViews>
    <sheetView workbookViewId="0">
      <selection activeCell="Q22" sqref="Q22"/>
    </sheetView>
  </sheetViews>
  <sheetFormatPr defaultRowHeight="14.25"/>
  <sheetData>
    <row r="2" spans="5:7">
      <c r="F2">
        <v>5975</v>
      </c>
    </row>
    <row r="3" spans="5:7">
      <c r="E3" t="s">
        <v>17</v>
      </c>
      <c r="F3">
        <v>18</v>
      </c>
      <c r="G3" s="296">
        <f>F3/$F$2</f>
        <v>3.0125523012552303E-3</v>
      </c>
    </row>
    <row r="4" spans="5:7">
      <c r="E4" t="s">
        <v>18</v>
      </c>
      <c r="F4">
        <v>13</v>
      </c>
      <c r="G4" s="296">
        <f t="shared" ref="G4:G21" si="0">F4/$F$2</f>
        <v>2.1757322175732217E-3</v>
      </c>
    </row>
    <row r="5" spans="5:7">
      <c r="E5" t="s">
        <v>180</v>
      </c>
      <c r="F5">
        <v>380</v>
      </c>
      <c r="G5" s="296">
        <f t="shared" si="0"/>
        <v>6.3598326359832633E-2</v>
      </c>
    </row>
    <row r="6" spans="5:7">
      <c r="E6" t="s">
        <v>181</v>
      </c>
      <c r="F6">
        <v>6</v>
      </c>
      <c r="G6" s="296">
        <f t="shared" si="0"/>
        <v>1.0041841004184101E-3</v>
      </c>
    </row>
    <row r="7" spans="5:7">
      <c r="E7" t="s">
        <v>182</v>
      </c>
      <c r="F7">
        <v>19</v>
      </c>
      <c r="G7" s="296">
        <f t="shared" si="0"/>
        <v>3.1799163179916318E-3</v>
      </c>
    </row>
    <row r="8" spans="5:7">
      <c r="E8" t="s">
        <v>183</v>
      </c>
      <c r="F8">
        <v>632</v>
      </c>
      <c r="G8" s="296">
        <f t="shared" si="0"/>
        <v>0.10577405857740586</v>
      </c>
    </row>
    <row r="9" spans="5:7">
      <c r="E9" t="s">
        <v>19</v>
      </c>
      <c r="F9">
        <v>1937</v>
      </c>
      <c r="G9" s="296">
        <f t="shared" si="0"/>
        <v>0.32418410041841006</v>
      </c>
    </row>
    <row r="10" spans="5:7">
      <c r="E10" t="s">
        <v>184</v>
      </c>
      <c r="F10">
        <v>325</v>
      </c>
      <c r="G10" s="296">
        <f t="shared" si="0"/>
        <v>5.4393305439330547E-2</v>
      </c>
    </row>
    <row r="11" spans="5:7">
      <c r="E11" t="s">
        <v>185</v>
      </c>
      <c r="F11">
        <v>224</v>
      </c>
      <c r="G11" s="296">
        <f t="shared" si="0"/>
        <v>3.7489539748953978E-2</v>
      </c>
    </row>
    <row r="12" spans="5:7">
      <c r="E12" t="s">
        <v>186</v>
      </c>
      <c r="F12">
        <v>145</v>
      </c>
      <c r="G12" s="296">
        <f t="shared" si="0"/>
        <v>2.4267782426778243E-2</v>
      </c>
    </row>
    <row r="13" spans="5:7">
      <c r="E13" t="s">
        <v>187</v>
      </c>
      <c r="F13">
        <v>271</v>
      </c>
      <c r="G13" s="296">
        <f t="shared" si="0"/>
        <v>4.5355648535564855E-2</v>
      </c>
    </row>
    <row r="14" spans="5:7">
      <c r="E14" t="s">
        <v>188</v>
      </c>
      <c r="F14">
        <v>201</v>
      </c>
      <c r="G14" s="296">
        <f t="shared" si="0"/>
        <v>3.3640167364016739E-2</v>
      </c>
    </row>
    <row r="15" spans="5:7">
      <c r="E15" t="s">
        <v>189</v>
      </c>
      <c r="F15">
        <v>395</v>
      </c>
      <c r="G15" s="296">
        <f t="shared" si="0"/>
        <v>6.6108786610878656E-2</v>
      </c>
    </row>
    <row r="16" spans="5:7">
      <c r="E16" t="s">
        <v>190</v>
      </c>
      <c r="F16">
        <v>144</v>
      </c>
      <c r="G16" s="296">
        <f t="shared" si="0"/>
        <v>2.4100418410041843E-2</v>
      </c>
    </row>
    <row r="17" spans="5:7">
      <c r="E17" t="s">
        <v>191</v>
      </c>
      <c r="F17">
        <v>16</v>
      </c>
      <c r="G17" s="296">
        <f t="shared" si="0"/>
        <v>2.677824267782427E-3</v>
      </c>
    </row>
    <row r="18" spans="5:7">
      <c r="E18" t="s">
        <v>192</v>
      </c>
      <c r="F18">
        <v>314</v>
      </c>
      <c r="G18" s="296">
        <f t="shared" si="0"/>
        <v>5.2552301255230124E-2</v>
      </c>
    </row>
    <row r="19" spans="5:7">
      <c r="E19" t="s">
        <v>193</v>
      </c>
      <c r="F19">
        <v>321</v>
      </c>
      <c r="G19" s="296">
        <f t="shared" si="0"/>
        <v>5.3723849372384939E-2</v>
      </c>
    </row>
    <row r="20" spans="5:7">
      <c r="E20" t="s">
        <v>194</v>
      </c>
      <c r="F20">
        <v>142</v>
      </c>
      <c r="G20" s="296">
        <f t="shared" si="0"/>
        <v>2.3765690376569039E-2</v>
      </c>
    </row>
    <row r="21" spans="5:7">
      <c r="E21" t="s">
        <v>195</v>
      </c>
      <c r="F21">
        <v>472</v>
      </c>
      <c r="G21" s="296">
        <f t="shared" si="0"/>
        <v>7.8995815899581587E-2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0"/>
  <sheetViews>
    <sheetView showGridLines="0" view="pageBreakPreview" topLeftCell="A19" zoomScaleNormal="100" zoomScaleSheetLayoutView="100" workbookViewId="0">
      <selection activeCell="B18" sqref="B18:E23"/>
    </sheetView>
  </sheetViews>
  <sheetFormatPr defaultRowHeight="15"/>
  <cols>
    <col min="1" max="1" width="2.5" style="13" customWidth="1"/>
    <col min="2" max="2" width="25" style="13" customWidth="1"/>
    <col min="3" max="3" width="9" style="13"/>
    <col min="4" max="4" width="11.875" style="13" customWidth="1"/>
    <col min="5" max="5" width="13.5" style="13" bestFit="1" customWidth="1"/>
    <col min="6" max="6" width="15.625" style="13" customWidth="1"/>
    <col min="7" max="7" width="13.5" style="13" bestFit="1" customWidth="1"/>
    <col min="8" max="8" width="2.5" style="13" customWidth="1"/>
    <col min="9" max="9" width="9.125" style="13" bestFit="1" customWidth="1"/>
    <col min="10" max="10" width="12.75" style="13" customWidth="1"/>
    <col min="11" max="11" width="13.75" style="13" customWidth="1"/>
    <col min="12" max="12" width="18" style="13" customWidth="1"/>
    <col min="13" max="13" width="13.5" style="13" bestFit="1" customWidth="1"/>
    <col min="14" max="14" width="11" style="13" customWidth="1"/>
    <col min="15" max="15" width="11.625" style="13" customWidth="1"/>
    <col min="16" max="16" width="9" style="13" customWidth="1"/>
    <col min="17" max="19" width="11.625" style="13" customWidth="1"/>
    <col min="20" max="20" width="9" style="13" customWidth="1"/>
    <col min="21" max="16384" width="9" style="13"/>
  </cols>
  <sheetData>
    <row r="1" spans="1:20" s="20" customFormat="1" ht="15" customHeight="1" thickBot="1"/>
    <row r="2" spans="1:20" s="20" customFormat="1" ht="19.5" thickBot="1">
      <c r="B2" s="21" t="s">
        <v>30</v>
      </c>
      <c r="C2" s="328"/>
      <c r="D2" s="22"/>
      <c r="E2" s="22"/>
      <c r="F2" s="22"/>
      <c r="G2" s="22"/>
      <c r="H2" s="22"/>
      <c r="I2" s="22"/>
      <c r="J2" s="22"/>
      <c r="K2" s="22"/>
      <c r="L2" s="23"/>
    </row>
    <row r="3" spans="1:20" s="20" customFormat="1" ht="15" customHeight="1" thickBot="1"/>
    <row r="4" spans="1:20" ht="15.75" thickBot="1">
      <c r="B4" s="965" t="s">
        <v>219</v>
      </c>
      <c r="C4" s="967"/>
    </row>
    <row r="5" spans="1:20" s="24" customFormat="1" ht="48.75" thickBot="1">
      <c r="B5" s="8"/>
      <c r="C5" s="9" t="s">
        <v>16</v>
      </c>
      <c r="D5" s="9" t="s">
        <v>23</v>
      </c>
      <c r="E5" s="10" t="s">
        <v>24</v>
      </c>
    </row>
    <row r="6" spans="1:20">
      <c r="B6" s="442" t="s">
        <v>295</v>
      </c>
      <c r="C6" s="336">
        <v>96464</v>
      </c>
      <c r="D6" s="337">
        <v>0.81200000000000006</v>
      </c>
      <c r="E6" s="338">
        <f>D6*C6</f>
        <v>78328.768000000011</v>
      </c>
      <c r="M6" s="335"/>
      <c r="N6" s="34"/>
      <c r="O6" s="300"/>
      <c r="P6" s="301"/>
      <c r="Q6" s="300"/>
      <c r="R6" s="335"/>
      <c r="S6" s="300"/>
      <c r="T6" s="302"/>
    </row>
    <row r="7" spans="1:20">
      <c r="B7" s="539" t="s">
        <v>220</v>
      </c>
      <c r="C7" s="540">
        <v>11997.6</v>
      </c>
      <c r="D7" s="541">
        <v>0.81200000000000006</v>
      </c>
      <c r="E7" s="542">
        <f>C7*D7</f>
        <v>9742.0512000000017</v>
      </c>
      <c r="M7" s="335"/>
      <c r="N7" s="34"/>
      <c r="O7" s="300"/>
      <c r="P7" s="301"/>
      <c r="Q7" s="300"/>
      <c r="R7" s="335"/>
      <c r="S7" s="300"/>
      <c r="T7" s="302"/>
    </row>
    <row r="8" spans="1:20" ht="15.75" thickBot="1">
      <c r="B8" s="443" t="s">
        <v>293</v>
      </c>
      <c r="C8" s="339">
        <v>47990.400000000001</v>
      </c>
      <c r="D8" s="340">
        <v>0.81</v>
      </c>
      <c r="E8" s="341">
        <f>D8*C8</f>
        <v>38872.224000000002</v>
      </c>
      <c r="M8" s="37"/>
      <c r="N8" s="34"/>
      <c r="O8" s="303"/>
      <c r="P8" s="34"/>
      <c r="Q8" s="34"/>
      <c r="R8" s="37"/>
      <c r="S8" s="34"/>
      <c r="T8" s="304"/>
    </row>
    <row r="9" spans="1:20" ht="15.75" thickBot="1">
      <c r="B9" s="26"/>
      <c r="C9" s="19">
        <f>SUM(C6:C8)</f>
        <v>156452</v>
      </c>
      <c r="D9" s="32"/>
      <c r="E9" s="19">
        <f>SUM(E6:E8)</f>
        <v>126943.04320000001</v>
      </c>
      <c r="M9" s="335"/>
      <c r="N9" s="34"/>
      <c r="O9" s="34"/>
      <c r="P9" s="34"/>
      <c r="Q9" s="34"/>
      <c r="R9" s="335"/>
      <c r="S9" s="34"/>
      <c r="T9" s="304"/>
    </row>
    <row r="10" spans="1:20" ht="15.75" thickBot="1">
      <c r="M10" s="37"/>
      <c r="N10" s="34"/>
      <c r="O10" s="34"/>
      <c r="P10" s="34"/>
      <c r="Q10" s="34"/>
      <c r="R10" s="37"/>
      <c r="S10" s="34"/>
      <c r="T10" s="304"/>
    </row>
    <row r="11" spans="1:20" ht="15.75" thickBot="1">
      <c r="B11" s="965" t="s">
        <v>218</v>
      </c>
      <c r="C11" s="967"/>
      <c r="M11" s="335"/>
      <c r="N11" s="305"/>
      <c r="O11" s="305"/>
      <c r="P11" s="305"/>
      <c r="Q11" s="305"/>
      <c r="R11" s="335"/>
      <c r="S11" s="34"/>
      <c r="T11" s="304"/>
    </row>
    <row r="12" spans="1:20" ht="48.75" thickBot="1">
      <c r="A12" s="27"/>
      <c r="B12" s="8"/>
      <c r="C12" s="9" t="s">
        <v>16</v>
      </c>
      <c r="D12" s="9" t="s">
        <v>23</v>
      </c>
      <c r="E12" s="10" t="s">
        <v>24</v>
      </c>
      <c r="H12" s="27"/>
      <c r="M12" s="37"/>
      <c r="N12" s="34"/>
      <c r="O12" s="34"/>
      <c r="P12" s="34"/>
      <c r="Q12" s="34"/>
      <c r="R12" s="37"/>
      <c r="S12" s="34"/>
      <c r="T12" s="304"/>
    </row>
    <row r="13" spans="1:20">
      <c r="A13" s="27"/>
      <c r="B13" s="442" t="str">
        <f>B6</f>
        <v xml:space="preserve">Przemysł </v>
      </c>
      <c r="C13" s="336">
        <v>84848.87</v>
      </c>
      <c r="D13" s="337">
        <v>0.81200000000000006</v>
      </c>
      <c r="E13" s="338">
        <f>D13*C13</f>
        <v>68897.282439999995</v>
      </c>
      <c r="H13" s="27"/>
      <c r="L13" s="25"/>
      <c r="M13" s="37"/>
      <c r="N13" s="34"/>
      <c r="O13" s="34"/>
      <c r="P13" s="305"/>
      <c r="Q13" s="305"/>
      <c r="R13" s="37"/>
      <c r="S13" s="305"/>
      <c r="T13" s="304"/>
    </row>
    <row r="14" spans="1:20">
      <c r="A14" s="27"/>
      <c r="B14" s="539" t="str">
        <f>B7</f>
        <v>Handel i Usługi</v>
      </c>
      <c r="C14" s="540">
        <v>12797.42</v>
      </c>
      <c r="D14" s="541">
        <v>0.81200000000000006</v>
      </c>
      <c r="E14" s="542">
        <f>C14*D14</f>
        <v>10391.50504</v>
      </c>
      <c r="H14" s="27"/>
      <c r="L14" s="25"/>
      <c r="M14" s="37"/>
      <c r="N14" s="34"/>
      <c r="O14" s="34"/>
      <c r="P14" s="305"/>
      <c r="Q14" s="305"/>
      <c r="R14" s="37"/>
      <c r="S14" s="305"/>
      <c r="T14" s="304"/>
    </row>
    <row r="15" spans="1:20" ht="15.75" thickBot="1">
      <c r="A15" s="27"/>
      <c r="B15" s="443" t="str">
        <f>B8</f>
        <v>Budynki mieszkalne</v>
      </c>
      <c r="C15" s="339">
        <v>51190.3</v>
      </c>
      <c r="D15" s="340">
        <v>0.81200000000000006</v>
      </c>
      <c r="E15" s="341">
        <f>D15*C15</f>
        <v>41566.523600000008</v>
      </c>
      <c r="H15" s="27"/>
      <c r="L15" s="25"/>
      <c r="M15" s="335"/>
      <c r="N15" s="34"/>
      <c r="O15" s="34"/>
      <c r="P15" s="34"/>
      <c r="Q15" s="34"/>
      <c r="R15" s="335"/>
      <c r="S15" s="34"/>
      <c r="T15" s="304"/>
    </row>
    <row r="16" spans="1:20" ht="15.75" thickBot="1">
      <c r="A16" s="27"/>
      <c r="B16" s="26"/>
      <c r="C16" s="19">
        <f>SUM(C13:C15)</f>
        <v>148836.59</v>
      </c>
      <c r="D16" s="32"/>
      <c r="E16" s="19">
        <f>SUM(E13:E15)</f>
        <v>120855.31108000001</v>
      </c>
      <c r="H16" s="28"/>
      <c r="L16" s="25"/>
      <c r="M16" s="37"/>
      <c r="N16" s="34"/>
      <c r="O16" s="34"/>
      <c r="P16" s="34"/>
      <c r="Q16" s="34"/>
      <c r="R16" s="37"/>
      <c r="S16" s="34"/>
      <c r="T16" s="304"/>
    </row>
    <row r="17" spans="1:20" ht="15.75" thickBot="1">
      <c r="A17" s="27"/>
      <c r="B17" s="26"/>
      <c r="C17" s="646"/>
      <c r="D17" s="647"/>
      <c r="E17" s="646"/>
      <c r="H17" s="28"/>
      <c r="L17" s="25"/>
      <c r="M17" s="37"/>
      <c r="N17" s="34"/>
      <c r="O17" s="34"/>
      <c r="P17" s="34"/>
      <c r="Q17" s="34"/>
      <c r="R17" s="37"/>
      <c r="S17" s="34"/>
      <c r="T17" s="304"/>
    </row>
    <row r="18" spans="1:20" ht="15.75" thickBot="1">
      <c r="A18" s="27"/>
      <c r="B18" s="968" t="s">
        <v>472</v>
      </c>
      <c r="C18" s="969"/>
      <c r="D18" s="667"/>
      <c r="E18" s="667"/>
      <c r="F18" s="29"/>
      <c r="G18" s="28"/>
      <c r="H18" s="27"/>
      <c r="I18" s="27"/>
      <c r="J18" s="299"/>
      <c r="K18" s="299"/>
      <c r="L18" s="299"/>
      <c r="M18" s="335"/>
      <c r="N18" s="34"/>
      <c r="O18" s="34"/>
      <c r="P18" s="34"/>
      <c r="Q18" s="34"/>
      <c r="R18" s="335"/>
      <c r="S18" s="34"/>
      <c r="T18" s="304"/>
    </row>
    <row r="19" spans="1:20" ht="48.75" thickBot="1">
      <c r="A19" s="27"/>
      <c r="B19" s="668"/>
      <c r="C19" s="669" t="s">
        <v>16</v>
      </c>
      <c r="D19" s="669" t="s">
        <v>475</v>
      </c>
      <c r="E19" s="670" t="s">
        <v>476</v>
      </c>
      <c r="F19" s="29"/>
      <c r="G19" s="28"/>
      <c r="H19" s="27"/>
      <c r="I19" s="27"/>
      <c r="J19" s="299"/>
      <c r="K19" s="299"/>
      <c r="L19" s="299"/>
      <c r="M19" s="335"/>
      <c r="N19" s="34"/>
      <c r="O19" s="34"/>
      <c r="P19" s="34"/>
      <c r="Q19" s="34"/>
      <c r="R19" s="335"/>
      <c r="S19" s="34"/>
      <c r="T19" s="304"/>
    </row>
    <row r="20" spans="1:20">
      <c r="A20" s="27"/>
      <c r="B20" s="671" t="s">
        <v>295</v>
      </c>
      <c r="C20" s="672">
        <v>7536.7619999999997</v>
      </c>
      <c r="D20" s="673">
        <v>0.81200000000000006</v>
      </c>
      <c r="E20" s="674">
        <f>D20*C20</f>
        <v>6119.8507440000003</v>
      </c>
      <c r="F20" s="29"/>
      <c r="G20" s="28"/>
      <c r="H20" s="27"/>
      <c r="I20" s="27"/>
      <c r="J20" s="299"/>
      <c r="K20" s="299"/>
      <c r="L20" s="299"/>
      <c r="M20" s="335"/>
      <c r="N20" s="34"/>
      <c r="O20" s="34"/>
      <c r="P20" s="34"/>
      <c r="Q20" s="34"/>
      <c r="R20" s="335"/>
      <c r="S20" s="34"/>
      <c r="T20" s="304"/>
    </row>
    <row r="21" spans="1:20">
      <c r="A21" s="27"/>
      <c r="B21" s="675" t="s">
        <v>220</v>
      </c>
      <c r="C21" s="676">
        <v>98178.854000000007</v>
      </c>
      <c r="D21" s="677">
        <v>0.81200000000000006</v>
      </c>
      <c r="E21" s="678">
        <f>C21*D21</f>
        <v>79721.229448000013</v>
      </c>
      <c r="F21" s="29"/>
      <c r="G21" s="28"/>
      <c r="H21" s="27"/>
      <c r="I21" s="27"/>
      <c r="J21" s="299"/>
      <c r="K21" s="299"/>
      <c r="L21" s="299"/>
      <c r="M21" s="335"/>
      <c r="N21" s="34"/>
      <c r="O21" s="34"/>
      <c r="P21" s="34"/>
      <c r="Q21" s="34"/>
      <c r="R21" s="335"/>
      <c r="S21" s="34"/>
      <c r="T21" s="304"/>
    </row>
    <row r="22" spans="1:20" ht="15.75" thickBot="1">
      <c r="A22" s="27"/>
      <c r="B22" s="679" t="s">
        <v>293</v>
      </c>
      <c r="C22" s="680">
        <v>62704.784</v>
      </c>
      <c r="D22" s="681">
        <v>0.81200000000000006</v>
      </c>
      <c r="E22" s="682">
        <f>D22*C22</f>
        <v>50916.284608000002</v>
      </c>
      <c r="F22" s="29"/>
      <c r="G22" s="28"/>
      <c r="H22" s="27"/>
      <c r="I22" s="27"/>
      <c r="J22" s="299"/>
      <c r="K22" s="299"/>
      <c r="L22" s="299"/>
      <c r="M22" s="335"/>
      <c r="N22" s="34"/>
      <c r="O22" s="34"/>
      <c r="P22" s="34"/>
      <c r="Q22" s="34"/>
      <c r="R22" s="335"/>
      <c r="S22" s="34"/>
      <c r="T22" s="304"/>
    </row>
    <row r="23" spans="1:20" ht="15.75" thickBot="1">
      <c r="A23" s="27"/>
      <c r="B23" s="683"/>
      <c r="C23" s="684">
        <f>SUM(C20:C22)</f>
        <v>168420.40000000002</v>
      </c>
      <c r="D23" s="685"/>
      <c r="E23" s="684">
        <f>SUM(E20:E22)</f>
        <v>136757.36480000001</v>
      </c>
      <c r="F23" s="29"/>
      <c r="G23" s="28"/>
      <c r="H23" s="27"/>
      <c r="I23" s="27"/>
      <c r="J23" s="299"/>
      <c r="K23" s="299"/>
      <c r="L23" s="299"/>
      <c r="M23" s="335"/>
      <c r="N23" s="34"/>
      <c r="O23" s="34"/>
      <c r="P23" s="34"/>
      <c r="Q23" s="34"/>
      <c r="R23" s="335"/>
      <c r="S23" s="34"/>
      <c r="T23" s="304"/>
    </row>
    <row r="24" spans="1:20" ht="15.75" thickBot="1">
      <c r="A24" s="27"/>
      <c r="B24" s="11"/>
      <c r="C24" s="11"/>
      <c r="D24" s="12"/>
      <c r="E24" s="28"/>
      <c r="F24" s="29"/>
      <c r="G24" s="28"/>
      <c r="H24" s="27"/>
      <c r="I24" s="27"/>
      <c r="J24" s="299"/>
      <c r="K24" s="299"/>
      <c r="L24" s="299"/>
      <c r="M24" s="335"/>
      <c r="N24" s="34"/>
      <c r="O24" s="34"/>
      <c r="P24" s="34"/>
      <c r="Q24" s="34"/>
      <c r="R24" s="335"/>
      <c r="S24" s="34"/>
      <c r="T24" s="304"/>
    </row>
    <row r="25" spans="1:20" ht="15.75" thickBot="1">
      <c r="A25" s="27"/>
      <c r="B25" s="965" t="s">
        <v>128</v>
      </c>
      <c r="C25" s="966"/>
      <c r="D25" s="967"/>
      <c r="H25" s="27"/>
      <c r="I25" s="301"/>
      <c r="J25" s="333"/>
      <c r="K25" s="333"/>
      <c r="L25" s="334"/>
      <c r="M25" s="37"/>
      <c r="N25" s="34"/>
      <c r="O25" s="34"/>
      <c r="P25" s="34"/>
      <c r="Q25" s="34"/>
      <c r="R25" s="37"/>
      <c r="S25" s="34"/>
      <c r="T25" s="304"/>
    </row>
    <row r="26" spans="1:20" ht="48.75" thickBot="1">
      <c r="A26" s="27"/>
      <c r="B26" s="8"/>
      <c r="C26" s="9" t="s">
        <v>16</v>
      </c>
      <c r="D26" s="9" t="s">
        <v>23</v>
      </c>
      <c r="E26" s="10" t="s">
        <v>24</v>
      </c>
      <c r="G26" s="27"/>
      <c r="H26" s="301"/>
      <c r="I26" s="85"/>
      <c r="J26" s="306"/>
      <c r="K26" s="307"/>
      <c r="L26" s="307"/>
      <c r="M26" s="335"/>
      <c r="N26" s="34"/>
      <c r="O26" s="305"/>
      <c r="P26" s="305"/>
      <c r="Q26" s="305"/>
      <c r="R26" s="335"/>
      <c r="S26" s="304"/>
    </row>
    <row r="27" spans="1:20">
      <c r="A27" s="27"/>
      <c r="B27" s="442" t="str">
        <f>B13</f>
        <v xml:space="preserve">Przemysł </v>
      </c>
      <c r="C27" s="336">
        <f>(C13/C16)*C30</f>
        <v>99440.024547648136</v>
      </c>
      <c r="D27" s="337">
        <v>0.81200000000000006</v>
      </c>
      <c r="E27" s="338">
        <f>D27*C27</f>
        <v>80745.299932690294</v>
      </c>
      <c r="H27" s="301"/>
      <c r="I27" s="85"/>
      <c r="J27" s="306"/>
      <c r="K27" s="307"/>
      <c r="L27" s="307"/>
      <c r="M27" s="335"/>
      <c r="N27" s="34"/>
      <c r="O27" s="34"/>
      <c r="P27" s="34"/>
      <c r="Q27" s="34"/>
      <c r="R27" s="335"/>
      <c r="S27" s="304"/>
    </row>
    <row r="28" spans="1:20">
      <c r="A28" s="27"/>
      <c r="B28" s="539" t="str">
        <f>B14</f>
        <v>Handel i Usługi</v>
      </c>
      <c r="C28" s="540">
        <v>14998.29</v>
      </c>
      <c r="D28" s="541">
        <f>D27</f>
        <v>0.81200000000000006</v>
      </c>
      <c r="E28" s="542">
        <f>C28*D28</f>
        <v>12178.611480000001</v>
      </c>
      <c r="H28" s="301"/>
      <c r="I28" s="85"/>
      <c r="J28" s="306"/>
      <c r="K28" s="307"/>
      <c r="L28" s="307"/>
      <c r="M28" s="335"/>
      <c r="N28" s="34"/>
      <c r="O28" s="34"/>
      <c r="P28" s="34"/>
      <c r="Q28" s="34"/>
      <c r="R28" s="335"/>
      <c r="S28" s="304"/>
    </row>
    <row r="29" spans="1:20" s="37" customFormat="1" ht="15.75" thickBot="1">
      <c r="A29" s="34"/>
      <c r="B29" s="443" t="str">
        <f>B15</f>
        <v>Budynki mieszkalne</v>
      </c>
      <c r="C29" s="339">
        <v>59993.17</v>
      </c>
      <c r="D29" s="340">
        <f>D28</f>
        <v>0.81200000000000006</v>
      </c>
      <c r="E29" s="341">
        <f>D29*C29</f>
        <v>48714.454040000004</v>
      </c>
      <c r="H29" s="301"/>
      <c r="I29" s="332"/>
      <c r="J29" s="306"/>
      <c r="K29" s="307"/>
      <c r="L29" s="307"/>
      <c r="N29" s="34"/>
      <c r="O29" s="34"/>
      <c r="P29" s="34"/>
      <c r="Q29" s="34"/>
      <c r="S29" s="304"/>
    </row>
    <row r="30" spans="1:20" ht="15.75" thickBot="1">
      <c r="A30" s="27"/>
      <c r="B30" s="26"/>
      <c r="C30" s="19">
        <f>E40</f>
        <v>174431.48227181155</v>
      </c>
      <c r="E30" s="19">
        <f>SUM(E27:E29)</f>
        <v>141638.36545269031</v>
      </c>
      <c r="G30" s="26"/>
      <c r="M30" s="335"/>
      <c r="N30" s="34"/>
      <c r="O30" s="34"/>
      <c r="P30" s="34"/>
      <c r="Q30" s="34"/>
      <c r="R30" s="335"/>
      <c r="S30" s="34"/>
      <c r="T30" s="304"/>
    </row>
    <row r="31" spans="1:20" ht="15.75" thickBot="1">
      <c r="A31" s="27"/>
      <c r="M31" s="37"/>
      <c r="N31" s="34"/>
      <c r="O31" s="34"/>
      <c r="P31" s="34"/>
      <c r="Q31" s="34"/>
      <c r="R31" s="37"/>
      <c r="S31" s="34"/>
      <c r="T31" s="304"/>
    </row>
    <row r="32" spans="1:20" ht="15.75" thickBot="1">
      <c r="A32" s="27"/>
      <c r="B32" s="157" t="s">
        <v>26</v>
      </c>
      <c r="C32" s="329"/>
      <c r="D32" s="158"/>
      <c r="E32" s="159"/>
      <c r="F32" s="27"/>
      <c r="G32" s="27"/>
      <c r="H32" s="27"/>
      <c r="I32" s="157" t="s">
        <v>29</v>
      </c>
      <c r="J32" s="160"/>
      <c r="M32" s="335"/>
      <c r="N32" s="34"/>
      <c r="O32" s="34"/>
      <c r="P32" s="34"/>
      <c r="Q32" s="34"/>
      <c r="R32" s="335"/>
      <c r="S32" s="34"/>
      <c r="T32" s="304"/>
    </row>
    <row r="33" spans="1:18" ht="75.75" thickBot="1">
      <c r="A33" s="27"/>
      <c r="B33" s="38" t="s">
        <v>25</v>
      </c>
      <c r="C33" s="330"/>
      <c r="D33" s="35" t="s">
        <v>27</v>
      </c>
      <c r="E33" s="35" t="s">
        <v>28</v>
      </c>
      <c r="F33" s="35" t="s">
        <v>23</v>
      </c>
      <c r="G33" s="36" t="s">
        <v>24</v>
      </c>
      <c r="H33" s="34"/>
      <c r="I33" s="40" t="s">
        <v>20</v>
      </c>
      <c r="J33" s="35" t="s">
        <v>21</v>
      </c>
      <c r="K33" s="36" t="s">
        <v>22</v>
      </c>
      <c r="M33" s="37"/>
      <c r="N33" s="34"/>
      <c r="R33" s="37"/>
    </row>
    <row r="34" spans="1:18">
      <c r="B34" s="47">
        <v>2014</v>
      </c>
      <c r="C34" s="331"/>
      <c r="D34" s="33">
        <f>C16</f>
        <v>148836.59</v>
      </c>
      <c r="E34" s="39"/>
      <c r="F34" s="30">
        <v>0.81200000000000006</v>
      </c>
      <c r="G34" s="31">
        <f>D34*F34</f>
        <v>120855.31108</v>
      </c>
      <c r="H34" s="27"/>
      <c r="I34" s="45">
        <v>2014</v>
      </c>
      <c r="J34" s="41">
        <f>D34</f>
        <v>148836.59</v>
      </c>
      <c r="K34" s="42">
        <f>G34</f>
        <v>120855.31108</v>
      </c>
    </row>
    <row r="35" spans="1:18" ht="15.75" thickBot="1">
      <c r="B35" s="47">
        <v>2015</v>
      </c>
      <c r="C35" s="331"/>
      <c r="D35" s="33"/>
      <c r="E35" s="39">
        <f>2.68*D34/100+D34</f>
        <v>152825.41061200001</v>
      </c>
      <c r="F35" s="30">
        <f>F34</f>
        <v>0.81200000000000006</v>
      </c>
      <c r="G35" s="31">
        <f t="shared" ref="G35:G40" si="0">F35*E35</f>
        <v>124094.23341694401</v>
      </c>
      <c r="H35" s="27"/>
      <c r="I35" s="46">
        <f>B40</f>
        <v>2020</v>
      </c>
      <c r="J35" s="43">
        <f>E40</f>
        <v>174431.48227181155</v>
      </c>
      <c r="K35" s="44">
        <f>G40</f>
        <v>141638.36360471099</v>
      </c>
    </row>
    <row r="36" spans="1:18">
      <c r="B36" s="47">
        <v>2016</v>
      </c>
      <c r="C36" s="331"/>
      <c r="D36" s="33"/>
      <c r="E36" s="39">
        <f>2.68*E35/100+E35</f>
        <v>156921.1316164016</v>
      </c>
      <c r="F36" s="30">
        <f>F35</f>
        <v>0.81200000000000006</v>
      </c>
      <c r="G36" s="31">
        <f t="shared" si="0"/>
        <v>127419.95887251811</v>
      </c>
      <c r="H36" s="27"/>
    </row>
    <row r="37" spans="1:18">
      <c r="B37" s="47">
        <v>2017</v>
      </c>
      <c r="C37" s="331"/>
      <c r="D37" s="33"/>
      <c r="E37" s="39">
        <f>2.68*E36/100+E36</f>
        <v>161126.61794372115</v>
      </c>
      <c r="F37" s="30">
        <f>F35</f>
        <v>0.81200000000000006</v>
      </c>
      <c r="G37" s="31">
        <f t="shared" si="0"/>
        <v>130834.81377030158</v>
      </c>
      <c r="H37" s="27"/>
    </row>
    <row r="38" spans="1:18">
      <c r="B38" s="47">
        <v>2018</v>
      </c>
      <c r="C38" s="331"/>
      <c r="D38" s="33"/>
      <c r="E38" s="39">
        <f>2.68*E37/100+E37</f>
        <v>165444.81130461287</v>
      </c>
      <c r="F38" s="30">
        <f>F35</f>
        <v>0.81200000000000006</v>
      </c>
      <c r="G38" s="31">
        <f t="shared" si="0"/>
        <v>134341.18677934565</v>
      </c>
      <c r="H38" s="27"/>
    </row>
    <row r="39" spans="1:18">
      <c r="B39" s="47">
        <v>2019</v>
      </c>
      <c r="C39" s="331"/>
      <c r="D39" s="33"/>
      <c r="E39" s="39">
        <f>2.68*E38/100+E38</f>
        <v>169878.7322475765</v>
      </c>
      <c r="F39" s="30">
        <f>F35</f>
        <v>0.81200000000000006</v>
      </c>
      <c r="G39" s="31">
        <f t="shared" si="0"/>
        <v>137941.53058503213</v>
      </c>
    </row>
    <row r="40" spans="1:18">
      <c r="B40" s="47">
        <v>2020</v>
      </c>
      <c r="C40" s="331"/>
      <c r="D40" s="33"/>
      <c r="E40" s="39">
        <f>2.68*E39/100+E39</f>
        <v>174431.48227181155</v>
      </c>
      <c r="F40" s="30">
        <f>F35</f>
        <v>0.81200000000000006</v>
      </c>
      <c r="G40" s="31">
        <f t="shared" si="0"/>
        <v>141638.36360471099</v>
      </c>
    </row>
  </sheetData>
  <mergeCells count="4">
    <mergeCell ref="B25:D25"/>
    <mergeCell ref="B4:C4"/>
    <mergeCell ref="B11:C11"/>
    <mergeCell ref="B18:C1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rowBreaks count="1" manualBreakCount="1">
    <brk id="31" max="11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3"/>
  <sheetViews>
    <sheetView view="pageBreakPreview" topLeftCell="A7" zoomScale="80" zoomScaleNormal="100" zoomScaleSheetLayoutView="80" workbookViewId="0">
      <selection activeCell="K36" sqref="K36"/>
    </sheetView>
  </sheetViews>
  <sheetFormatPr defaultRowHeight="15"/>
  <cols>
    <col min="1" max="1" width="2.5" style="13" customWidth="1"/>
    <col min="2" max="2" width="9" style="13"/>
    <col min="3" max="3" width="11.875" style="13" customWidth="1"/>
    <col min="4" max="4" width="13.5" style="13" bestFit="1" customWidth="1"/>
    <col min="5" max="5" width="15.625" style="13" customWidth="1"/>
    <col min="6" max="6" width="13.5" style="13" bestFit="1" customWidth="1"/>
    <col min="7" max="7" width="2.75" style="13" customWidth="1"/>
    <col min="8" max="8" width="9.125" style="13" bestFit="1" customWidth="1"/>
    <col min="9" max="9" width="12.75" style="13" customWidth="1"/>
    <col min="10" max="10" width="13.75" style="13" customWidth="1"/>
    <col min="11" max="11" width="18" style="13" customWidth="1"/>
    <col min="12" max="12" width="13.5" style="13" bestFit="1" customWidth="1"/>
    <col min="13" max="13" width="9" style="13" customWidth="1"/>
    <col min="14" max="14" width="11.625" style="13" customWidth="1"/>
    <col min="15" max="15" width="9" style="13" customWidth="1"/>
    <col min="16" max="18" width="11.625" style="13" customWidth="1"/>
    <col min="19" max="19" width="9" style="13" customWidth="1"/>
    <col min="20" max="16384" width="9" style="13"/>
  </cols>
  <sheetData>
    <row r="1" spans="2:12" s="20" customFormat="1" ht="15" customHeight="1" thickBot="1"/>
    <row r="2" spans="2:12" s="20" customFormat="1" ht="19.5" thickBot="1">
      <c r="B2" s="21" t="s">
        <v>31</v>
      </c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2:12" s="20" customFormat="1" ht="15" customHeight="1"/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U40"/>
  <sheetViews>
    <sheetView view="pageBreakPreview" topLeftCell="A13" zoomScaleNormal="100" zoomScaleSheetLayoutView="100" workbookViewId="0">
      <selection activeCell="B19" sqref="B19:I23"/>
    </sheetView>
  </sheetViews>
  <sheetFormatPr defaultRowHeight="15"/>
  <cols>
    <col min="1" max="1" width="2.5" style="13" customWidth="1"/>
    <col min="2" max="2" width="9" style="13"/>
    <col min="3" max="3" width="11.875" style="13" customWidth="1"/>
    <col min="4" max="4" width="14.5" style="13" customWidth="1"/>
    <col min="5" max="6" width="17.625" style="13" customWidth="1"/>
    <col min="7" max="7" width="15.625" style="13" customWidth="1"/>
    <col min="8" max="8" width="15.125" style="13" customWidth="1"/>
    <col min="9" max="9" width="11.125" style="13" customWidth="1"/>
    <col min="10" max="10" width="9.125" style="13" bestFit="1" customWidth="1"/>
    <col min="11" max="11" width="12.75" style="13" customWidth="1"/>
    <col min="12" max="12" width="13.75" style="13" customWidth="1"/>
    <col min="13" max="13" width="18" style="13" customWidth="1"/>
    <col min="14" max="14" width="15.875" style="13" customWidth="1"/>
    <col min="15" max="15" width="18.5" style="13" customWidth="1"/>
    <col min="16" max="16" width="14.5" style="13" customWidth="1"/>
    <col min="17" max="17" width="11.5" style="13" customWidth="1"/>
    <col min="18" max="19" width="11.625" style="13" customWidth="1"/>
    <col min="20" max="20" width="13.75" style="13" customWidth="1"/>
    <col min="21" max="21" width="13.125" style="13" customWidth="1"/>
    <col min="22" max="16384" width="9" style="13"/>
  </cols>
  <sheetData>
    <row r="1" spans="2:21" s="20" customFormat="1" ht="15" customHeight="1" thickBot="1"/>
    <row r="2" spans="2:21" s="20" customFormat="1" ht="19.5" thickBot="1">
      <c r="B2" s="21" t="s">
        <v>34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</row>
    <row r="3" spans="2:21" s="20" customFormat="1" ht="15" customHeight="1" thickBot="1">
      <c r="P3" s="352"/>
      <c r="Q3" s="352"/>
      <c r="R3" s="352"/>
      <c r="S3" s="352"/>
    </row>
    <row r="4" spans="2:21" ht="15.75" thickBot="1">
      <c r="B4" s="156" t="s">
        <v>219</v>
      </c>
      <c r="C4" s="48"/>
      <c r="D4" s="48"/>
      <c r="E4" s="48"/>
      <c r="F4" s="48"/>
      <c r="G4" s="48"/>
      <c r="H4" s="48"/>
      <c r="I4" s="48"/>
      <c r="P4" s="27"/>
      <c r="Q4" s="27"/>
      <c r="R4" s="27"/>
      <c r="S4" s="27"/>
    </row>
    <row r="5" spans="2:21" ht="30">
      <c r="B5" s="53"/>
      <c r="C5" s="54"/>
      <c r="D5" s="344" t="s">
        <v>15</v>
      </c>
      <c r="E5" s="56" t="s">
        <v>39</v>
      </c>
      <c r="F5" s="56" t="s">
        <v>299</v>
      </c>
      <c r="G5" s="56" t="s">
        <v>35</v>
      </c>
      <c r="H5" s="57" t="s">
        <v>36</v>
      </c>
      <c r="I5" s="58" t="s">
        <v>37</v>
      </c>
      <c r="O5" s="308"/>
      <c r="P5" s="27"/>
      <c r="Q5" s="27"/>
      <c r="R5" s="27"/>
      <c r="S5" s="27"/>
      <c r="T5" s="308"/>
      <c r="U5" s="308"/>
    </row>
    <row r="6" spans="2:21">
      <c r="B6" s="974" t="s">
        <v>293</v>
      </c>
      <c r="C6" s="975"/>
      <c r="D6" s="345">
        <v>12458</v>
      </c>
      <c r="E6" s="59">
        <v>8328540</v>
      </c>
      <c r="F6" s="59">
        <f>G6/3.6</f>
        <v>86292.92833333333</v>
      </c>
      <c r="G6" s="60">
        <f>E6*0.0373</f>
        <v>310654.54200000002</v>
      </c>
      <c r="H6" s="61">
        <v>5.5E-2</v>
      </c>
      <c r="I6" s="62">
        <f>G6*H6</f>
        <v>17085.999810000001</v>
      </c>
      <c r="P6" s="27"/>
      <c r="Q6" s="27"/>
      <c r="R6" s="27"/>
      <c r="S6" s="27"/>
      <c r="T6" s="27"/>
      <c r="U6" s="27"/>
    </row>
    <row r="7" spans="2:21">
      <c r="B7" s="974" t="s">
        <v>38</v>
      </c>
      <c r="C7" s="975"/>
      <c r="D7" s="342">
        <v>77</v>
      </c>
      <c r="E7" s="59">
        <v>12089830</v>
      </c>
      <c r="F7" s="59">
        <f>G7/3.6</f>
        <v>125264.07194444444</v>
      </c>
      <c r="G7" s="60">
        <f>E7*0.0373</f>
        <v>450950.65899999999</v>
      </c>
      <c r="H7" s="61">
        <v>5.5E-2</v>
      </c>
      <c r="I7" s="62">
        <f>G7*H7</f>
        <v>24802.286244999999</v>
      </c>
      <c r="O7" s="308"/>
      <c r="P7" s="27"/>
      <c r="Q7" s="27"/>
      <c r="R7" s="27"/>
      <c r="S7" s="27"/>
      <c r="T7" s="27"/>
      <c r="U7" s="27"/>
    </row>
    <row r="8" spans="2:21">
      <c r="B8" s="974" t="s">
        <v>220</v>
      </c>
      <c r="C8" s="975"/>
      <c r="D8" s="342">
        <v>468</v>
      </c>
      <c r="E8" s="59">
        <v>4758630</v>
      </c>
      <c r="F8" s="59">
        <f>G8/3.6</f>
        <v>49304.694166666668</v>
      </c>
      <c r="G8" s="60">
        <f>E8*0.0373</f>
        <v>177496.899</v>
      </c>
      <c r="H8" s="61">
        <v>5.5E-2</v>
      </c>
      <c r="I8" s="62">
        <f>G8*H8</f>
        <v>9762.3294450000012</v>
      </c>
      <c r="P8" s="27"/>
      <c r="Q8" s="27"/>
      <c r="R8" s="27"/>
      <c r="S8" s="27"/>
      <c r="T8" s="27"/>
      <c r="U8" s="27"/>
    </row>
    <row r="9" spans="2:21" ht="15.75" thickBot="1">
      <c r="B9" s="972" t="s">
        <v>13</v>
      </c>
      <c r="C9" s="973"/>
      <c r="D9" s="343">
        <f>SUM(D6:D8)</f>
        <v>13003</v>
      </c>
      <c r="E9" s="63">
        <f>SUM(E6:E8)</f>
        <v>25177000</v>
      </c>
      <c r="F9" s="63">
        <f>SUM(F6:F8)</f>
        <v>260861.69444444444</v>
      </c>
      <c r="G9" s="64">
        <f>E9*0.0373</f>
        <v>939102.1</v>
      </c>
      <c r="H9" s="65">
        <v>5.5E-2</v>
      </c>
      <c r="I9" s="66">
        <f>G9*H9</f>
        <v>51650.6155</v>
      </c>
      <c r="P9" s="27"/>
      <c r="Q9" s="27"/>
      <c r="R9" s="27"/>
      <c r="S9" s="27"/>
      <c r="T9" s="298"/>
      <c r="U9" s="27"/>
    </row>
    <row r="10" spans="2:21" ht="15.75" thickBot="1">
      <c r="B10" s="49"/>
      <c r="C10" s="49"/>
      <c r="D10" s="49"/>
      <c r="E10" s="50"/>
      <c r="F10" s="50"/>
      <c r="G10" s="50"/>
      <c r="H10" s="51"/>
      <c r="I10" s="48"/>
      <c r="O10" s="308"/>
      <c r="P10" s="27"/>
      <c r="Q10" s="27"/>
      <c r="R10" s="27"/>
      <c r="S10" s="27"/>
      <c r="T10" s="27"/>
      <c r="U10" s="27"/>
    </row>
    <row r="11" spans="2:21" ht="15.75" thickBot="1">
      <c r="B11" s="156" t="s">
        <v>218</v>
      </c>
      <c r="C11" s="50"/>
      <c r="D11" s="50"/>
      <c r="E11" s="50"/>
      <c r="F11" s="50"/>
      <c r="G11" s="50"/>
      <c r="H11" s="51"/>
      <c r="I11" s="48"/>
      <c r="P11" s="27"/>
      <c r="Q11" s="27"/>
      <c r="R11" s="27"/>
      <c r="S11" s="27"/>
      <c r="T11" s="27"/>
      <c r="U11" s="27"/>
    </row>
    <row r="12" spans="2:21" ht="30">
      <c r="B12" s="976"/>
      <c r="C12" s="977"/>
      <c r="D12" s="348" t="s">
        <v>15</v>
      </c>
      <c r="E12" s="56" t="s">
        <v>39</v>
      </c>
      <c r="F12" s="56" t="str">
        <f>F5</f>
        <v>zużycie gazu [MWh]</v>
      </c>
      <c r="G12" s="56" t="s">
        <v>35</v>
      </c>
      <c r="H12" s="67" t="s">
        <v>36</v>
      </c>
      <c r="I12" s="58" t="s">
        <v>37</v>
      </c>
      <c r="O12" s="308"/>
      <c r="P12" s="27"/>
      <c r="Q12" s="27"/>
      <c r="R12" s="27"/>
      <c r="S12" s="27"/>
      <c r="T12" s="27"/>
      <c r="U12" s="27"/>
    </row>
    <row r="13" spans="2:21" ht="15" customHeight="1">
      <c r="B13" s="974" t="str">
        <f>B6</f>
        <v>Budynki mieszkalne</v>
      </c>
      <c r="C13" s="978"/>
      <c r="D13" s="350">
        <v>12875</v>
      </c>
      <c r="E13" s="346">
        <v>6600700</v>
      </c>
      <c r="F13" s="346">
        <f>G13/3.6</f>
        <v>68390.586111111101</v>
      </c>
      <c r="G13" s="60">
        <f>E13*0.0373</f>
        <v>246206.11</v>
      </c>
      <c r="H13" s="61">
        <v>5.5E-2</v>
      </c>
      <c r="I13" s="62">
        <f>G13*H13</f>
        <v>13541.33605</v>
      </c>
      <c r="P13" s="298"/>
      <c r="Q13" s="298"/>
      <c r="R13" s="298"/>
      <c r="S13" s="298"/>
      <c r="T13" s="27"/>
      <c r="U13" s="27"/>
    </row>
    <row r="14" spans="2:21">
      <c r="B14" s="974" t="str">
        <f>B7</f>
        <v>Przemysł</v>
      </c>
      <c r="C14" s="978"/>
      <c r="D14" s="350">
        <v>94</v>
      </c>
      <c r="E14" s="347">
        <v>16722300</v>
      </c>
      <c r="F14" s="578">
        <f>G14/3.6</f>
        <v>173261.60833333334</v>
      </c>
      <c r="G14" s="60">
        <f>E14*0.0373</f>
        <v>623741.79</v>
      </c>
      <c r="H14" s="61">
        <v>5.5E-2</v>
      </c>
      <c r="I14" s="62">
        <f>G14*H14</f>
        <v>34305.798450000002</v>
      </c>
      <c r="O14" s="308"/>
      <c r="P14" s="27"/>
      <c r="Q14" s="27"/>
      <c r="R14" s="27"/>
      <c r="S14" s="27"/>
      <c r="T14" s="27"/>
      <c r="U14" s="27"/>
    </row>
    <row r="15" spans="2:21">
      <c r="B15" s="974" t="s">
        <v>220</v>
      </c>
      <c r="C15" s="978"/>
      <c r="D15" s="350">
        <v>188</v>
      </c>
      <c r="E15" s="347">
        <v>2269000</v>
      </c>
      <c r="F15" s="577">
        <f>G15/3.6</f>
        <v>23509.361111111109</v>
      </c>
      <c r="G15" s="60">
        <f>E15*0.0373</f>
        <v>84633.7</v>
      </c>
      <c r="H15" s="61">
        <v>5.5E-2</v>
      </c>
      <c r="I15" s="62">
        <f>G15*H15</f>
        <v>4654.8535000000002</v>
      </c>
      <c r="P15" s="27"/>
      <c r="Q15" s="27"/>
      <c r="R15" s="27"/>
      <c r="S15" s="27"/>
      <c r="T15" s="27"/>
      <c r="U15" s="27"/>
    </row>
    <row r="16" spans="2:21" ht="15.75" thickBot="1">
      <c r="B16" s="972" t="s">
        <v>13</v>
      </c>
      <c r="C16" s="973"/>
      <c r="D16" s="349">
        <f>SUM(D13:D15)</f>
        <v>13157</v>
      </c>
      <c r="E16" s="68">
        <f>SUM(E13:E15)</f>
        <v>25592000</v>
      </c>
      <c r="F16" s="68">
        <f>SUM(F13:F15)</f>
        <v>265161.55555555556</v>
      </c>
      <c r="G16" s="68">
        <f>SUM(G13:G15)</f>
        <v>954581.6</v>
      </c>
      <c r="H16" s="69">
        <v>5.5E-2</v>
      </c>
      <c r="I16" s="70">
        <f>SUM(I13:I15)</f>
        <v>52501.987999999998</v>
      </c>
      <c r="P16" s="298"/>
      <c r="Q16" s="298"/>
      <c r="R16" s="298"/>
      <c r="S16" s="298"/>
      <c r="T16" s="27"/>
      <c r="U16" s="27"/>
    </row>
    <row r="17" spans="2:21" ht="15.75" thickBot="1">
      <c r="B17" s="49"/>
      <c r="C17" s="49"/>
      <c r="D17" s="49"/>
      <c r="E17" s="52"/>
      <c r="F17" s="52"/>
      <c r="G17" s="50"/>
      <c r="H17" s="50"/>
      <c r="I17" s="48"/>
      <c r="K17" s="555"/>
      <c r="O17" s="308"/>
      <c r="P17" s="27"/>
      <c r="Q17" s="27"/>
      <c r="R17" s="27"/>
      <c r="S17" s="27"/>
      <c r="T17" s="27"/>
      <c r="U17" s="27"/>
    </row>
    <row r="18" spans="2:21" ht="15.75" thickBot="1">
      <c r="B18" s="979" t="s">
        <v>473</v>
      </c>
      <c r="C18" s="980"/>
      <c r="D18" s="981"/>
      <c r="E18" s="648"/>
      <c r="F18" s="648"/>
      <c r="G18" s="648"/>
      <c r="H18" s="649"/>
      <c r="I18" s="650"/>
      <c r="K18" s="555"/>
      <c r="O18" s="308"/>
      <c r="P18" s="27"/>
      <c r="Q18" s="27"/>
      <c r="R18" s="27"/>
      <c r="S18" s="27"/>
      <c r="T18" s="27"/>
      <c r="U18" s="27"/>
    </row>
    <row r="19" spans="2:21" ht="30">
      <c r="B19" s="982"/>
      <c r="C19" s="983"/>
      <c r="D19" s="651" t="s">
        <v>15</v>
      </c>
      <c r="E19" s="652" t="s">
        <v>474</v>
      </c>
      <c r="F19" s="652" t="str">
        <f>F12</f>
        <v>zużycie gazu [MWh]</v>
      </c>
      <c r="G19" s="652" t="s">
        <v>35</v>
      </c>
      <c r="H19" s="653" t="s">
        <v>36</v>
      </c>
      <c r="I19" s="654" t="s">
        <v>37</v>
      </c>
      <c r="K19" s="555"/>
      <c r="O19" s="308"/>
      <c r="P19" s="27"/>
      <c r="Q19" s="27"/>
      <c r="R19" s="27"/>
      <c r="S19" s="27"/>
      <c r="T19" s="27"/>
      <c r="U19" s="27"/>
    </row>
    <row r="20" spans="2:21">
      <c r="B20" s="984" t="str">
        <f>B13</f>
        <v>Budynki mieszkalne</v>
      </c>
      <c r="C20" s="985"/>
      <c r="D20" s="655">
        <v>12525</v>
      </c>
      <c r="E20" s="656">
        <f>6639.2*1000</f>
        <v>6639200</v>
      </c>
      <c r="F20" s="656">
        <f>G20/3.6</f>
        <v>68789.488888888882</v>
      </c>
      <c r="G20" s="657">
        <f>E20*0.0373</f>
        <v>247642.16</v>
      </c>
      <c r="H20" s="658">
        <v>5.5E-2</v>
      </c>
      <c r="I20" s="659">
        <f>G20*H20</f>
        <v>13620.318800000001</v>
      </c>
      <c r="K20" s="555"/>
      <c r="O20" s="308"/>
      <c r="P20" s="27"/>
      <c r="Q20" s="27"/>
      <c r="R20" s="27"/>
      <c r="S20" s="27"/>
      <c r="T20" s="27"/>
      <c r="U20" s="27"/>
    </row>
    <row r="21" spans="2:21">
      <c r="B21" s="984" t="str">
        <f>B14</f>
        <v>Przemysł</v>
      </c>
      <c r="C21" s="985"/>
      <c r="D21" s="655" t="s">
        <v>153</v>
      </c>
      <c r="E21" s="660">
        <f>E14/Charakterystyka!Q105*Charakterystyka!AD105</f>
        <v>17297786.168100595</v>
      </c>
      <c r="F21" s="661">
        <f>G21/3.6</f>
        <v>179224.28446393117</v>
      </c>
      <c r="G21" s="657">
        <f>E21*0.0373</f>
        <v>645207.42407015222</v>
      </c>
      <c r="H21" s="658">
        <v>5.5E-2</v>
      </c>
      <c r="I21" s="659">
        <f>G21*H21</f>
        <v>35486.40832385837</v>
      </c>
      <c r="K21" s="555"/>
      <c r="O21" s="308"/>
      <c r="P21" s="27"/>
      <c r="Q21" s="27"/>
      <c r="R21" s="27"/>
      <c r="S21" s="27"/>
      <c r="T21" s="27"/>
      <c r="U21" s="27"/>
    </row>
    <row r="22" spans="2:21">
      <c r="B22" s="984" t="s">
        <v>220</v>
      </c>
      <c r="C22" s="985"/>
      <c r="D22" s="655" t="s">
        <v>153</v>
      </c>
      <c r="E22" s="660">
        <f>E15/Charakterystyka!Q105*Charakterystyka!AD105</f>
        <v>2347086.0357379219</v>
      </c>
      <c r="F22" s="662">
        <f>G22/3.6</f>
        <v>24318.419203617916</v>
      </c>
      <c r="G22" s="657">
        <f>E22*0.0373</f>
        <v>87546.309133024493</v>
      </c>
      <c r="H22" s="658">
        <v>5.5E-2</v>
      </c>
      <c r="I22" s="659">
        <f>G22*H22</f>
        <v>4815.0470023163471</v>
      </c>
      <c r="K22" s="555"/>
      <c r="O22" s="308"/>
      <c r="P22" s="27"/>
      <c r="Q22" s="27"/>
      <c r="R22" s="27"/>
      <c r="S22" s="27"/>
      <c r="T22" s="27"/>
      <c r="U22" s="27"/>
    </row>
    <row r="23" spans="2:21" ht="15.75" thickBot="1">
      <c r="B23" s="970" t="s">
        <v>13</v>
      </c>
      <c r="C23" s="971"/>
      <c r="D23" s="663">
        <f>SUM(D20:D22)</f>
        <v>12525</v>
      </c>
      <c r="E23" s="664">
        <f>SUM(E20:E22)</f>
        <v>26284072.203838516</v>
      </c>
      <c r="F23" s="664">
        <f>SUM(F20:F22)</f>
        <v>272332.19255643798</v>
      </c>
      <c r="G23" s="664">
        <f>SUM(G20:G22)</f>
        <v>980395.89320317679</v>
      </c>
      <c r="H23" s="665">
        <v>5.5E-2</v>
      </c>
      <c r="I23" s="666">
        <f>SUM(I20:I22)</f>
        <v>53921.774126174714</v>
      </c>
      <c r="K23" s="555"/>
      <c r="O23" s="308"/>
      <c r="P23" s="27"/>
      <c r="Q23" s="27"/>
      <c r="R23" s="27"/>
      <c r="S23" s="27"/>
      <c r="T23" s="27"/>
      <c r="U23" s="27"/>
    </row>
    <row r="24" spans="2:21" ht="15.75" thickBot="1">
      <c r="B24" s="49"/>
      <c r="C24" s="49"/>
      <c r="D24" s="49"/>
      <c r="E24" s="52"/>
      <c r="F24" s="52"/>
      <c r="G24" s="50"/>
      <c r="H24" s="50"/>
      <c r="I24" s="48"/>
      <c r="K24" s="555"/>
      <c r="O24" s="308"/>
      <c r="P24" s="27"/>
      <c r="Q24" s="27"/>
      <c r="R24" s="27"/>
      <c r="S24" s="27"/>
      <c r="T24" s="27"/>
      <c r="U24" s="27"/>
    </row>
    <row r="25" spans="2:21" ht="15.75" thickBot="1">
      <c r="B25" s="965" t="s">
        <v>128</v>
      </c>
      <c r="C25" s="967"/>
      <c r="D25" s="470"/>
      <c r="E25" s="470"/>
      <c r="F25" s="470"/>
      <c r="G25" s="471"/>
      <c r="H25" s="472"/>
      <c r="I25" s="473"/>
      <c r="J25" s="474"/>
      <c r="L25" s="474"/>
      <c r="M25" s="327"/>
      <c r="P25" s="27"/>
      <c r="Q25" s="27"/>
      <c r="R25" s="27"/>
      <c r="S25" s="27"/>
      <c r="T25" s="27"/>
    </row>
    <row r="26" spans="2:21" s="37" customFormat="1" ht="30" customHeight="1">
      <c r="B26" s="989"/>
      <c r="C26" s="990"/>
      <c r="D26" s="475" t="s">
        <v>275</v>
      </c>
      <c r="E26" s="475" t="s">
        <v>35</v>
      </c>
      <c r="F26" s="475" t="str">
        <f>F12</f>
        <v>zużycie gazu [MWh]</v>
      </c>
      <c r="G26" s="476" t="s">
        <v>36</v>
      </c>
      <c r="H26" s="477" t="s">
        <v>37</v>
      </c>
      <c r="I26" s="474"/>
      <c r="J26" s="478"/>
      <c r="K26" s="478"/>
      <c r="L26" s="479"/>
      <c r="M26" s="306"/>
      <c r="O26" s="308"/>
      <c r="P26" s="27"/>
      <c r="Q26" s="27"/>
      <c r="R26" s="27"/>
      <c r="S26" s="27"/>
      <c r="T26" s="27"/>
    </row>
    <row r="27" spans="2:21" ht="15" customHeight="1">
      <c r="B27" s="991" t="str">
        <f>B13</f>
        <v>Budynki mieszkalne</v>
      </c>
      <c r="C27" s="992"/>
      <c r="D27" s="480">
        <f>E27/0.0373</f>
        <v>7247407.9716890436</v>
      </c>
      <c r="E27" s="481">
        <f>(G13/G16)*E30</f>
        <v>270328.31734400132</v>
      </c>
      <c r="F27" s="481">
        <f>E27/3.6</f>
        <v>75091.199262222581</v>
      </c>
      <c r="G27" s="482">
        <v>5.5E-2</v>
      </c>
      <c r="H27" s="483">
        <f>E27*G27</f>
        <v>14868.057453920073</v>
      </c>
      <c r="I27" s="474"/>
      <c r="J27" s="986"/>
      <c r="K27" s="986"/>
      <c r="L27" s="484"/>
      <c r="M27" s="306"/>
      <c r="P27" s="27"/>
      <c r="Q27" s="27"/>
      <c r="R27" s="27"/>
      <c r="S27" s="27"/>
      <c r="T27" s="27"/>
    </row>
    <row r="28" spans="2:21" ht="15" customHeight="1">
      <c r="B28" s="991" t="str">
        <f>B14</f>
        <v>Przemysł</v>
      </c>
      <c r="C28" s="992"/>
      <c r="D28" s="485">
        <f>E28/0.0373</f>
        <v>18360678.462129124</v>
      </c>
      <c r="E28" s="486">
        <f>(G14/G16)*E30</f>
        <v>684853.30663741624</v>
      </c>
      <c r="F28" s="486">
        <f>E28/3.6</f>
        <v>190237.02962150451</v>
      </c>
      <c r="G28" s="482">
        <v>5.5E-2</v>
      </c>
      <c r="H28" s="483">
        <f>E28*G28</f>
        <v>37666.931865057893</v>
      </c>
      <c r="I28" s="474"/>
      <c r="J28" s="986"/>
      <c r="K28" s="986"/>
      <c r="L28" s="487"/>
      <c r="M28" s="556"/>
      <c r="O28" s="308"/>
      <c r="P28" s="27"/>
      <c r="Q28" s="27"/>
      <c r="R28" s="27"/>
      <c r="S28" s="27"/>
      <c r="T28" s="27"/>
    </row>
    <row r="29" spans="2:21">
      <c r="B29" s="991" t="s">
        <v>220</v>
      </c>
      <c r="C29" s="992"/>
      <c r="D29" s="485">
        <f>E29/0.0373</f>
        <v>2491306.7837899677</v>
      </c>
      <c r="E29" s="486">
        <f>(G15/G16)*E30</f>
        <v>92925.743035365798</v>
      </c>
      <c r="F29" s="486">
        <f>E29/3.6</f>
        <v>25812.706398712722</v>
      </c>
      <c r="G29" s="482">
        <v>5.5E-2</v>
      </c>
      <c r="H29" s="483">
        <f>E29*G29</f>
        <v>5110.915866945119</v>
      </c>
      <c r="I29" s="474"/>
      <c r="J29" s="986"/>
      <c r="K29" s="986"/>
      <c r="L29" s="487"/>
      <c r="M29" s="556"/>
      <c r="P29" s="298"/>
      <c r="Q29" s="298"/>
      <c r="R29" s="298"/>
      <c r="S29" s="298"/>
      <c r="T29" s="27"/>
    </row>
    <row r="30" spans="2:21" ht="15.75" thickBot="1">
      <c r="B30" s="987" t="s">
        <v>13</v>
      </c>
      <c r="C30" s="988"/>
      <c r="D30" s="488">
        <f>SUM(D27:D29)</f>
        <v>28099393.217608135</v>
      </c>
      <c r="E30" s="488">
        <f>D40</f>
        <v>1048107.3670167833</v>
      </c>
      <c r="F30" s="488">
        <f>SUM(F27:F29)</f>
        <v>291140.93528243981</v>
      </c>
      <c r="G30" s="489">
        <v>5.5E-2</v>
      </c>
      <c r="H30" s="490">
        <f>SUM(H27:H29)</f>
        <v>57645.905185923089</v>
      </c>
      <c r="I30" s="473"/>
      <c r="J30" s="473"/>
      <c r="K30" s="473"/>
      <c r="L30" s="473"/>
      <c r="M30" s="557"/>
      <c r="N30" s="27"/>
      <c r="O30" s="27"/>
      <c r="P30" s="27"/>
      <c r="Q30" s="27"/>
      <c r="R30" s="27"/>
      <c r="S30" s="27"/>
      <c r="T30" s="27"/>
    </row>
    <row r="31" spans="2:21" ht="15.75" thickBot="1">
      <c r="B31" s="491"/>
      <c r="C31" s="491"/>
      <c r="D31" s="491"/>
      <c r="E31" s="491"/>
      <c r="F31" s="491"/>
      <c r="G31" s="491"/>
      <c r="H31" s="491"/>
      <c r="I31" s="491"/>
      <c r="J31" s="473"/>
      <c r="K31" s="473"/>
      <c r="L31" s="473"/>
      <c r="M31" s="557"/>
    </row>
    <row r="32" spans="2:21" ht="15.75" thickBot="1">
      <c r="B32" s="157" t="s">
        <v>26</v>
      </c>
      <c r="C32" s="492"/>
      <c r="D32" s="492"/>
      <c r="E32" s="493"/>
      <c r="F32" s="579"/>
      <c r="G32" s="473"/>
      <c r="H32" s="473"/>
      <c r="I32" s="472"/>
      <c r="J32" s="491"/>
      <c r="K32" s="491"/>
      <c r="L32" s="491"/>
      <c r="M32" s="558"/>
    </row>
    <row r="33" spans="2:9" ht="45">
      <c r="B33" s="227" t="s">
        <v>25</v>
      </c>
      <c r="C33" s="228" t="s">
        <v>40</v>
      </c>
      <c r="D33" s="228" t="s">
        <v>41</v>
      </c>
      <c r="E33" s="228" t="s">
        <v>294</v>
      </c>
      <c r="F33" s="228" t="s">
        <v>42</v>
      </c>
      <c r="G33" s="228" t="s">
        <v>274</v>
      </c>
      <c r="H33" s="494" t="s">
        <v>36</v>
      </c>
      <c r="I33" s="495" t="s">
        <v>163</v>
      </c>
    </row>
    <row r="34" spans="2:9">
      <c r="B34" s="497">
        <v>2014</v>
      </c>
      <c r="C34" s="498">
        <f>G16</f>
        <v>954581.6</v>
      </c>
      <c r="D34" s="499"/>
      <c r="E34" s="498">
        <f>G13</f>
        <v>246206.11</v>
      </c>
      <c r="F34" s="498">
        <f>G14</f>
        <v>623741.79</v>
      </c>
      <c r="G34" s="500">
        <f>G15</f>
        <v>84633.7</v>
      </c>
      <c r="H34" s="501">
        <v>5.5E-2</v>
      </c>
      <c r="I34" s="502">
        <f>C34*H34</f>
        <v>52501.987999999998</v>
      </c>
    </row>
    <row r="35" spans="2:9">
      <c r="B35" s="497">
        <v>2015</v>
      </c>
      <c r="C35" s="498"/>
      <c r="D35" s="499">
        <f>1.57*C34/100+C34</f>
        <v>969568.53111999994</v>
      </c>
      <c r="E35" s="499">
        <f>1.57*E34/100+E34</f>
        <v>250071.545927</v>
      </c>
      <c r="F35" s="499">
        <f>1.57*F34/100+F34</f>
        <v>633534.53610300005</v>
      </c>
      <c r="G35" s="499">
        <f>1.57*G34/100+G34</f>
        <v>85962.449089999995</v>
      </c>
      <c r="H35" s="501">
        <v>5.5E-2</v>
      </c>
      <c r="I35" s="502">
        <f t="shared" ref="I35:I40" si="0">H35*D35</f>
        <v>53326.269211599996</v>
      </c>
    </row>
    <row r="36" spans="2:9">
      <c r="B36" s="497">
        <v>2016</v>
      </c>
      <c r="C36" s="498"/>
      <c r="D36" s="499">
        <f t="shared" ref="D36:E40" si="1">1.57*D35/100+D35</f>
        <v>984790.7570585839</v>
      </c>
      <c r="E36" s="499">
        <f t="shared" si="1"/>
        <v>253997.66919805389</v>
      </c>
      <c r="F36" s="499">
        <f t="shared" ref="F36:G39" si="2">1.57*F35/100+F35</f>
        <v>643481.02831981715</v>
      </c>
      <c r="G36" s="499">
        <f t="shared" si="2"/>
        <v>87312.059540712988</v>
      </c>
      <c r="H36" s="501">
        <v>5.5E-2</v>
      </c>
      <c r="I36" s="502">
        <f t="shared" si="0"/>
        <v>54163.491638222113</v>
      </c>
    </row>
    <row r="37" spans="2:9">
      <c r="B37" s="497">
        <v>2017</v>
      </c>
      <c r="C37" s="498"/>
      <c r="D37" s="499">
        <f t="shared" si="1"/>
        <v>1000251.9719444037</v>
      </c>
      <c r="E37" s="499">
        <f t="shared" si="1"/>
        <v>257985.43260446333</v>
      </c>
      <c r="F37" s="499">
        <f t="shared" si="2"/>
        <v>653583.68046443828</v>
      </c>
      <c r="G37" s="499">
        <f t="shared" si="2"/>
        <v>88682.858875502177</v>
      </c>
      <c r="H37" s="501">
        <v>5.5E-2</v>
      </c>
      <c r="I37" s="502">
        <f t="shared" si="0"/>
        <v>55013.858456942202</v>
      </c>
    </row>
    <row r="38" spans="2:9">
      <c r="B38" s="497">
        <v>2018</v>
      </c>
      <c r="C38" s="498"/>
      <c r="D38" s="499">
        <f t="shared" si="1"/>
        <v>1015955.9279039309</v>
      </c>
      <c r="E38" s="499">
        <f t="shared" si="1"/>
        <v>262035.80389635341</v>
      </c>
      <c r="F38" s="499">
        <f t="shared" si="2"/>
        <v>663844.94424772996</v>
      </c>
      <c r="G38" s="499">
        <f t="shared" si="2"/>
        <v>90075.179759847568</v>
      </c>
      <c r="H38" s="501">
        <v>5.5E-2</v>
      </c>
      <c r="I38" s="502">
        <f t="shared" si="0"/>
        <v>55877.5760347162</v>
      </c>
    </row>
    <row r="39" spans="2:9">
      <c r="B39" s="497">
        <v>2019</v>
      </c>
      <c r="C39" s="498"/>
      <c r="D39" s="499">
        <f t="shared" si="1"/>
        <v>1031906.4359720226</v>
      </c>
      <c r="E39" s="499">
        <f t="shared" si="1"/>
        <v>266149.76601752616</v>
      </c>
      <c r="F39" s="499">
        <f t="shared" si="2"/>
        <v>674267.30987241934</v>
      </c>
      <c r="G39" s="499">
        <f t="shared" si="2"/>
        <v>91489.360082077168</v>
      </c>
      <c r="H39" s="501">
        <v>5.5E-2</v>
      </c>
      <c r="I39" s="502">
        <f t="shared" si="0"/>
        <v>56754.853978461244</v>
      </c>
    </row>
    <row r="40" spans="2:9" ht="15.75" thickBot="1">
      <c r="B40" s="503">
        <v>2020</v>
      </c>
      <c r="C40" s="504"/>
      <c r="D40" s="505">
        <f t="shared" si="1"/>
        <v>1048107.3670167833</v>
      </c>
      <c r="E40" s="505">
        <f t="shared" si="1"/>
        <v>270328.31734400132</v>
      </c>
      <c r="F40" s="505">
        <f>1.57*F39/100+F39</f>
        <v>684853.30663741636</v>
      </c>
      <c r="G40" s="505">
        <f>1.57*G39/100+G39</f>
        <v>92925.743035365784</v>
      </c>
      <c r="H40" s="506">
        <v>5.5E-2</v>
      </c>
      <c r="I40" s="507">
        <f t="shared" si="0"/>
        <v>57645.905185923082</v>
      </c>
    </row>
  </sheetData>
  <mergeCells count="24">
    <mergeCell ref="J27:K27"/>
    <mergeCell ref="J28:K28"/>
    <mergeCell ref="J29:K29"/>
    <mergeCell ref="B30:C30"/>
    <mergeCell ref="B25:C25"/>
    <mergeCell ref="B26:C26"/>
    <mergeCell ref="B27:C27"/>
    <mergeCell ref="B28:C28"/>
    <mergeCell ref="B29:C29"/>
    <mergeCell ref="B23:C23"/>
    <mergeCell ref="B9:C9"/>
    <mergeCell ref="B6:C6"/>
    <mergeCell ref="B7:C7"/>
    <mergeCell ref="B8:C8"/>
    <mergeCell ref="B16:C16"/>
    <mergeCell ref="B12:C12"/>
    <mergeCell ref="B13:C13"/>
    <mergeCell ref="B14:C14"/>
    <mergeCell ref="B15:C15"/>
    <mergeCell ref="B18:D18"/>
    <mergeCell ref="B19:C19"/>
    <mergeCell ref="B20:C20"/>
    <mergeCell ref="B21:C21"/>
    <mergeCell ref="B22:C22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3"/>
  <sheetViews>
    <sheetView view="pageBreakPreview" zoomScale="80" zoomScaleNormal="100" zoomScaleSheetLayoutView="80" workbookViewId="0">
      <selection activeCell="J39" sqref="J39"/>
    </sheetView>
  </sheetViews>
  <sheetFormatPr defaultRowHeight="15"/>
  <cols>
    <col min="1" max="1" width="2.5" style="13" customWidth="1"/>
    <col min="2" max="2" width="9" style="13"/>
    <col min="3" max="3" width="11.875" style="13" customWidth="1"/>
    <col min="4" max="4" width="13.5" style="13" bestFit="1" customWidth="1"/>
    <col min="5" max="5" width="15.625" style="13" customWidth="1"/>
    <col min="6" max="6" width="13.5" style="13" bestFit="1" customWidth="1"/>
    <col min="7" max="7" width="2.5" style="13" customWidth="1"/>
    <col min="8" max="8" width="9.875" style="13" customWidth="1"/>
    <col min="9" max="9" width="12.75" style="13" customWidth="1"/>
    <col min="10" max="10" width="13.75" style="13" customWidth="1"/>
    <col min="11" max="11" width="18" style="13" customWidth="1"/>
    <col min="12" max="12" width="13.5" style="13" bestFit="1" customWidth="1"/>
    <col min="13" max="13" width="9" style="13" customWidth="1"/>
    <col min="14" max="14" width="11.625" style="13" customWidth="1"/>
    <col min="15" max="15" width="9" style="13" customWidth="1"/>
    <col min="16" max="18" width="11.625" style="13" customWidth="1"/>
    <col min="19" max="19" width="9" style="13" customWidth="1"/>
    <col min="20" max="16384" width="9" style="13"/>
  </cols>
  <sheetData>
    <row r="1" spans="2:12" s="20" customFormat="1" ht="15" customHeight="1" thickBot="1"/>
    <row r="2" spans="2:12" s="20" customFormat="1" ht="19.5" thickBot="1">
      <c r="B2" s="21" t="s">
        <v>43</v>
      </c>
      <c r="C2" s="22"/>
      <c r="D2" s="22"/>
      <c r="E2" s="22"/>
      <c r="F2" s="22"/>
      <c r="G2" s="22"/>
      <c r="H2" s="22"/>
      <c r="I2" s="22"/>
      <c r="J2" s="22"/>
      <c r="K2" s="22"/>
      <c r="L2" s="23"/>
    </row>
    <row r="3" spans="2:12" s="20" customFormat="1" ht="15" customHeight="1"/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Nazwane zakresy</vt:lpstr>
      </vt:variant>
      <vt:variant>
        <vt:i4>21</vt:i4>
      </vt:variant>
    </vt:vector>
  </HeadingPairs>
  <TitlesOfParts>
    <vt:vector size="43" baseType="lpstr">
      <vt:lpstr>INFO</vt:lpstr>
      <vt:lpstr>Wskaźniki</vt:lpstr>
      <vt:lpstr>Charakterystyka</vt:lpstr>
      <vt:lpstr>Arkusz2</vt:lpstr>
      <vt:lpstr>Arkusz1</vt:lpstr>
      <vt:lpstr>En. elektryczna</vt:lpstr>
      <vt:lpstr>En. elektryczna wykr.</vt:lpstr>
      <vt:lpstr>Gaz</vt:lpstr>
      <vt:lpstr>Gaz wykr.</vt:lpstr>
      <vt:lpstr>Ruch lokalny</vt:lpstr>
      <vt:lpstr>Tranzyt</vt:lpstr>
      <vt:lpstr>Transport wykr.</vt:lpstr>
      <vt:lpstr>Ciepło</vt:lpstr>
      <vt:lpstr>Ciepło wykr.</vt:lpstr>
      <vt:lpstr>Obiekty publiczne</vt:lpstr>
      <vt:lpstr>Ob pub. inwent. kontrolna</vt:lpstr>
      <vt:lpstr>Przedsiębiorstwa</vt:lpstr>
      <vt:lpstr>Przeds. inwent. kontrolna</vt:lpstr>
      <vt:lpstr>Wspólnoty i Spółdzielnie </vt:lpstr>
      <vt:lpstr>Oświetlenie</vt:lpstr>
      <vt:lpstr>miejski Zarząd nieruchomości</vt:lpstr>
      <vt:lpstr>Bilans</vt:lpstr>
      <vt:lpstr>Bilans!Obszar_wydruku</vt:lpstr>
      <vt:lpstr>Charakterystyka!Obszar_wydruku</vt:lpstr>
      <vt:lpstr>Ciepło!Obszar_wydruku</vt:lpstr>
      <vt:lpstr>'Ciepło wykr.'!Obszar_wydruku</vt:lpstr>
      <vt:lpstr>'En. elektryczna'!Obszar_wydruku</vt:lpstr>
      <vt:lpstr>'En. elektryczna wykr.'!Obszar_wydruku</vt:lpstr>
      <vt:lpstr>Gaz!Obszar_wydruku</vt:lpstr>
      <vt:lpstr>'Gaz wykr.'!Obszar_wydruku</vt:lpstr>
      <vt:lpstr>'Obiekty publiczne'!Obszar_wydruku</vt:lpstr>
      <vt:lpstr>Oświetlenie!Obszar_wydruku</vt:lpstr>
      <vt:lpstr>Przedsiębiorstwa!Obszar_wydruku</vt:lpstr>
      <vt:lpstr>'Ruch lokalny'!Obszar_wydruku</vt:lpstr>
      <vt:lpstr>'Transport wykr.'!Obszar_wydruku</vt:lpstr>
      <vt:lpstr>Tranzyt!Obszar_wydruku</vt:lpstr>
      <vt:lpstr>Wskaźniki!Obszar_wydruku</vt:lpstr>
      <vt:lpstr>'Wspólnoty i Spółdzielnie '!Obszar_wydruku</vt:lpstr>
      <vt:lpstr>Bilans!Tytuły_wydruku</vt:lpstr>
      <vt:lpstr>Charakterystyka!Tytuły_wydruku</vt:lpstr>
      <vt:lpstr>'Ciepło wykr.'!Tytuły_wydruku</vt:lpstr>
      <vt:lpstr>'Ruch lokalny'!Tytuły_wydruku</vt:lpstr>
      <vt:lpstr>'Transport wykr.'!Tytuły_wydruku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Agnieszka Kopańska</cp:lastModifiedBy>
  <cp:lastPrinted>2014-12-07T08:00:15Z</cp:lastPrinted>
  <dcterms:created xsi:type="dcterms:W3CDTF">2014-12-03T21:36:36Z</dcterms:created>
  <dcterms:modified xsi:type="dcterms:W3CDTF">2018-11-02T08:55:58Z</dcterms:modified>
</cp:coreProperties>
</file>